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m\Desktop\"/>
    </mc:Choice>
  </mc:AlternateContent>
  <xr:revisionPtr revIDLastSave="3" documentId="11_436D78E054C7BCE404571147B08C84F8699F03D5" xr6:coauthVersionLast="47" xr6:coauthVersionMax="47" xr10:uidLastSave="{913846CD-648E-4279-9204-0FABEFD1CCCB}"/>
  <bookViews>
    <workbookView xWindow="0" yWindow="0" windowWidth="23040" windowHeight="9192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62" i="1" l="1"/>
  <c r="P62" i="1"/>
  <c r="O62" i="1"/>
  <c r="N62" i="1"/>
  <c r="M62" i="1"/>
  <c r="L62" i="1"/>
  <c r="U60" i="1"/>
  <c r="T60" i="1"/>
  <c r="S60" i="1"/>
  <c r="R60" i="1"/>
  <c r="P60" i="1"/>
  <c r="O60" i="1"/>
  <c r="N60" i="1"/>
  <c r="M60" i="1"/>
  <c r="L60" i="1"/>
  <c r="J45" i="1"/>
  <c r="J42" i="1"/>
  <c r="J41" i="1"/>
  <c r="J40" i="1"/>
  <c r="N45" i="1" s="1"/>
  <c r="N39" i="1"/>
  <c r="D27" i="1"/>
  <c r="J47" i="1" s="1"/>
  <c r="D23" i="1"/>
  <c r="J46" i="1" s="1"/>
  <c r="E13" i="1"/>
  <c r="J48" i="1" s="1"/>
  <c r="S6" i="1"/>
  <c r="R6" i="1"/>
  <c r="Q6" i="1"/>
  <c r="P6" i="1"/>
  <c r="O6" i="1"/>
  <c r="U8" i="1" l="1"/>
  <c r="N53" i="1"/>
  <c r="N47" i="1"/>
  <c r="N46" i="1"/>
  <c r="D25" i="1"/>
  <c r="J44" i="1" s="1"/>
  <c r="J50" i="1" s="1"/>
  <c r="N32" i="1"/>
  <c r="N43" i="1"/>
  <c r="N41" i="1"/>
  <c r="N42" i="1"/>
  <c r="N33" i="1"/>
  <c r="N50" i="1"/>
  <c r="N35" i="1"/>
  <c r="N51" i="1"/>
  <c r="N36" i="1"/>
  <c r="N44" i="1"/>
  <c r="N40" i="1"/>
  <c r="N31" i="1"/>
  <c r="N48" i="1"/>
  <c r="N37" i="1"/>
  <c r="N52" i="1"/>
  <c r="N38" i="1"/>
  <c r="M4" i="1" l="1"/>
  <c r="J62" i="1"/>
  <c r="J52" i="1"/>
  <c r="J55" i="1" s="1"/>
  <c r="J65" i="1"/>
  <c r="J59" i="1"/>
</calcChain>
</file>

<file path=xl/sharedStrings.xml><?xml version="1.0" encoding="utf-8"?>
<sst xmlns="http://schemas.openxmlformats.org/spreadsheetml/2006/main" count="141" uniqueCount="125">
  <si>
    <t>1.</t>
  </si>
  <si>
    <t>Температура воздуха зимой в г. Улан-Удэ, принятая для расчета, °C</t>
  </si>
  <si>
    <t>Вт/ед</t>
  </si>
  <si>
    <t>Вт/ гр/куб.м.</t>
  </si>
  <si>
    <t>2.</t>
  </si>
  <si>
    <t>Желаемая температура в помещении, °C</t>
  </si>
  <si>
    <t>Вт на 100 куб.м.</t>
  </si>
  <si>
    <t>(норма 22°C)</t>
  </si>
  <si>
    <t>Вт</t>
  </si>
  <si>
    <t>3.</t>
  </si>
  <si>
    <t>Требуется ли нагрев горячей воды от котла?  (бойлер, л.)</t>
  </si>
  <si>
    <t>бойлер</t>
  </si>
  <si>
    <t>листр</t>
  </si>
  <si>
    <t>нет</t>
  </si>
  <si>
    <t>вент</t>
  </si>
  <si>
    <t>куб.м</t>
  </si>
  <si>
    <t>4.</t>
  </si>
  <si>
    <t>Наличие инфильтрации (для старых домов)</t>
  </si>
  <si>
    <t>да</t>
  </si>
  <si>
    <t>(инфильтрация - щели в стене, между стеной и оконным коробом и т.п.)</t>
  </si>
  <si>
    <t>теплопотери от вентиляции</t>
  </si>
  <si>
    <t>5.</t>
  </si>
  <si>
    <t>Наличие вентиляции (не принудительной)</t>
  </si>
  <si>
    <t>6.</t>
  </si>
  <si>
    <t>Количество этажей</t>
  </si>
  <si>
    <t>25 вт (было 50 вт на 1 кв.м.)</t>
  </si>
  <si>
    <t>7.</t>
  </si>
  <si>
    <t>Высота этажа (средняя), м.</t>
  </si>
  <si>
    <t>базальтовая плита</t>
  </si>
  <si>
    <t xml:space="preserve">экструдированный пенополистирол </t>
  </si>
  <si>
    <t>пенопласт</t>
  </si>
  <si>
    <t>стекловата</t>
  </si>
  <si>
    <t>опилки</t>
  </si>
  <si>
    <t>8.</t>
  </si>
  <si>
    <t>Длина дома, м.</t>
  </si>
  <si>
    <t>доска без утепления</t>
  </si>
  <si>
    <t>монолитный фундамент</t>
  </si>
  <si>
    <t>9.</t>
  </si>
  <si>
    <t>Ширина дома, м.</t>
  </si>
  <si>
    <t>дополнительное утепление</t>
  </si>
  <si>
    <t>в 2 кирпича</t>
  </si>
  <si>
    <t>в 2,5 кирпича</t>
  </si>
  <si>
    <t>в 3 кирпича</t>
  </si>
  <si>
    <t>бревно 25 см</t>
  </si>
  <si>
    <t>бревно 20 см</t>
  </si>
  <si>
    <t>брус 15 см</t>
  </si>
  <si>
    <t>брус 18 см</t>
  </si>
  <si>
    <t>брус 20 см</t>
  </si>
  <si>
    <t>каркас доска минвата 20 см</t>
  </si>
  <si>
    <t>газобетон D400 20 см</t>
  </si>
  <si>
    <t>газобетон D400 30 см</t>
  </si>
  <si>
    <t>газобетон D400 40 см</t>
  </si>
  <si>
    <t>пенобетон 20 см</t>
  </si>
  <si>
    <t>пенобетон 30 см</t>
  </si>
  <si>
    <t>потолок</t>
  </si>
  <si>
    <t>потери</t>
  </si>
  <si>
    <t>10.</t>
  </si>
  <si>
    <t>Утепление крыши</t>
  </si>
  <si>
    <t>стена</t>
  </si>
  <si>
    <t>Вт/ кв.м.</t>
  </si>
  <si>
    <t>стены</t>
  </si>
  <si>
    <t>11.</t>
  </si>
  <si>
    <t>Толщина утеплителя (потолок), м.</t>
  </si>
  <si>
    <t>обычное окно с 2 рамами</t>
  </si>
  <si>
    <t>двухкамерный  стеклопакет</t>
  </si>
  <si>
    <t>пол</t>
  </si>
  <si>
    <t>12.</t>
  </si>
  <si>
    <t>Утепление пола</t>
  </si>
  <si>
    <t>окно</t>
  </si>
  <si>
    <t>Вт/кв.м.</t>
  </si>
  <si>
    <t>13.</t>
  </si>
  <si>
    <t>Толщина утеплителя (пол), м.</t>
  </si>
  <si>
    <t>14.</t>
  </si>
  <si>
    <t>Материал и толщина наружных стен</t>
  </si>
  <si>
    <t>обычн</t>
  </si>
  <si>
    <t>2х кам</t>
  </si>
  <si>
    <t>15.</t>
  </si>
  <si>
    <t>Тип окон</t>
  </si>
  <si>
    <t>16.</t>
  </si>
  <si>
    <t>Площадь всех окон, кв.м.</t>
  </si>
  <si>
    <t>Расчет</t>
  </si>
  <si>
    <t>Площадь стен, кв.м.</t>
  </si>
  <si>
    <t>Площадь потолка, кв.м.</t>
  </si>
  <si>
    <t>Площадь пола, кв.м.</t>
  </si>
  <si>
    <t>Теплопотери стен, кВт</t>
  </si>
  <si>
    <t>Теплопотери окна, кВт</t>
  </si>
  <si>
    <t>Теплопотери потолок, кВт</t>
  </si>
  <si>
    <t>Теплопотери пол, кВт</t>
  </si>
  <si>
    <t>Теплопотери вентиляция, кВт</t>
  </si>
  <si>
    <t>Итого теплопотери (максимум), кВт:</t>
  </si>
  <si>
    <t>Мощность электрокотла, кВт</t>
  </si>
  <si>
    <t>Выбрать электрокотел: https://clck.ru/35ncg3</t>
  </si>
  <si>
    <t>Мощность твердотопливного котла, кВт</t>
  </si>
  <si>
    <t>Выбрать твердотопливный котел: https://clck.ru/35ncjZ</t>
  </si>
  <si>
    <t>Радиаторы "Теплоход"</t>
  </si>
  <si>
    <t>количество секций</t>
  </si>
  <si>
    <t>биметалл стандарт</t>
  </si>
  <si>
    <t>алюминий лайт</t>
  </si>
  <si>
    <t>алюминий стандарт</t>
  </si>
  <si>
    <t>биметалл лайт</t>
  </si>
  <si>
    <t>биметалл плюс</t>
  </si>
  <si>
    <t>чугун 500 7 секц</t>
  </si>
  <si>
    <t>чугун 500 4 секц</t>
  </si>
  <si>
    <t>чугун 300 7 секц</t>
  </si>
  <si>
    <t>чугун Китай 10 секц</t>
  </si>
  <si>
    <t>для расчета</t>
  </si>
  <si>
    <t>Прочие радиаторы</t>
  </si>
  <si>
    <t>алюминий S9 350</t>
  </si>
  <si>
    <t>биметалл S9 350</t>
  </si>
  <si>
    <t>биметалл S9 200</t>
  </si>
  <si>
    <t xml:space="preserve">Корвет б/м 350/100 </t>
  </si>
  <si>
    <t>Корвет 500</t>
  </si>
  <si>
    <t>Фрегат 500</t>
  </si>
  <si>
    <t>Чугунные радиаторы</t>
  </si>
  <si>
    <t>количество радиаторов</t>
  </si>
  <si>
    <t>Выбрать радиаторы: https://clck.ru/35ncVw</t>
  </si>
  <si>
    <t>Теплопотери вентиляции</t>
  </si>
  <si>
    <t>Qв = (V*Кв / 3600) * р * с * dT, Где V — объем помещения, куб. м; Кв — кратность воздухообмена; Р — плотность воздуха, принимается равной 1,2047 кг/куб. м; С — удельная теплоемкость воздуха, принимается равной 1005 Дж/кг*С.</t>
  </si>
  <si>
    <t>dT- разность наружной и внутренней температур</t>
  </si>
  <si>
    <t>Qb= 250/3600*1,2047*1005*52=</t>
  </si>
  <si>
    <t>Теплопотери стен</t>
  </si>
  <si>
    <t>Q = (A / R) *dT,</t>
  </si>
  <si>
    <t>А — площадь ограждающей конструкции, кв. м; dT — разность наружной и внутренней температур.</t>
  </si>
  <si>
    <t>коэффициента теплопроводности Кт (единица измерения — Вт/м*градус). Для каждого слоя ограждающих конструкций определяем термическое сопротивление по формуле: R = S/Кт, где S – толщина данного слоя, м.</t>
  </si>
  <si>
    <t>Коэфф из таблицы теплопроводности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</si>
</sst>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2"/>
      <color rgb="FF555555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i/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4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rgb="FFFFFF0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 applyBorder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1" applyBorder="1" applyProtection="1"/>
    <xf numFmtId="0" fontId="3" fillId="2" borderId="0" xfId="0" applyFont="1" applyFill="1"/>
    <xf numFmtId="164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/>
      <protection locked="0" hidden="1"/>
    </xf>
    <xf numFmtId="0" fontId="5" fillId="0" borderId="1" xfId="0" applyFont="1" applyBorder="1" applyAlignment="1" applyProtection="1">
      <alignment vertical="center"/>
      <protection locked="0"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/>
      <protection locked="0" hidden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0" xfId="0" applyFont="1" applyBorder="1" applyAlignment="1" applyProtection="1">
      <alignment horizontal="right" vertical="center" wrapText="1"/>
      <protection locked="0" hidden="1"/>
    </xf>
    <xf numFmtId="0" fontId="5" fillId="0" borderId="0" xfId="0" applyFont="1" applyAlignment="1" applyProtection="1">
      <alignment horizontal="right" vertical="center" wrapText="1"/>
      <protection locked="0" hidden="1"/>
    </xf>
    <xf numFmtId="0" fontId="5" fillId="0" borderId="10" xfId="0" applyFont="1" applyBorder="1" applyAlignment="1" applyProtection="1">
      <alignment horizontal="right" vertical="center" wrapText="1"/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2" fontId="5" fillId="0" borderId="1" xfId="0" applyNumberFormat="1" applyFont="1" applyBorder="1" applyAlignment="1" applyProtection="1">
      <alignment horizontal="right" vertical="center" wrapText="1"/>
      <protection hidden="1"/>
    </xf>
    <xf numFmtId="164" fontId="6" fillId="0" borderId="1" xfId="0" applyNumberFormat="1" applyFont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right" vertical="center" wrapText="1"/>
      <protection hidden="1"/>
    </xf>
    <xf numFmtId="1" fontId="6" fillId="0" borderId="1" xfId="0" applyNumberFormat="1" applyFont="1" applyBorder="1" applyAlignment="1" applyProtection="1">
      <alignment horizontal="right" vertical="center" wrapText="1"/>
      <protection hidden="1"/>
    </xf>
    <xf numFmtId="0" fontId="9" fillId="3" borderId="10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/>
    <xf numFmtId="1" fontId="5" fillId="0" borderId="0" xfId="0" applyNumberFormat="1" applyFont="1" applyAlignment="1" applyProtection="1">
      <alignment horizontal="right" vertical="center" wrapText="1"/>
      <protection hidden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9" fillId="4" borderId="0" xfId="0" applyFont="1" applyFill="1" applyAlignment="1" applyProtection="1">
      <alignment vertical="center"/>
      <protection locked="0" hidden="1"/>
    </xf>
    <xf numFmtId="1" fontId="9" fillId="5" borderId="10" xfId="0" applyNumberFormat="1" applyFont="1" applyFill="1" applyBorder="1" applyAlignment="1" applyProtection="1">
      <alignment horizontal="right" vertical="center" wrapText="1"/>
      <protection hidden="1"/>
    </xf>
    <xf numFmtId="0" fontId="12" fillId="4" borderId="0" xfId="0" applyFont="1" applyFill="1" applyAlignment="1" applyProtection="1">
      <alignment horizontal="right" vertical="center" wrapText="1"/>
      <protection hidden="1"/>
    </xf>
    <xf numFmtId="0" fontId="5" fillId="0" borderId="10" xfId="0" applyFont="1" applyBorder="1" applyAlignment="1" applyProtection="1">
      <alignment vertical="center"/>
      <protection locked="0" hidden="1"/>
    </xf>
    <xf numFmtId="0" fontId="6" fillId="0" borderId="0" xfId="0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ck.ru/35ncVw" TargetMode="External"/><Relationship Id="rId2" Type="http://schemas.openxmlformats.org/officeDocument/2006/relationships/hyperlink" Target="https://clck.ru/35ncjZ" TargetMode="External"/><Relationship Id="rId1" Type="http://schemas.openxmlformats.org/officeDocument/2006/relationships/hyperlink" Target="https://clck.ru/35ncg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0"/>
  <sheetViews>
    <sheetView tabSelected="1" topLeftCell="G6" zoomScale="90" zoomScaleNormal="90" workbookViewId="0">
      <selection activeCell="G3" sqref="G3:J70"/>
    </sheetView>
  </sheetViews>
  <sheetFormatPr defaultColWidth="9.140625" defaultRowHeight="17.45"/>
  <cols>
    <col min="1" max="2" width="9.140625" style="1" hidden="1"/>
    <col min="3" max="3" width="12.42578125" style="1" hidden="1" customWidth="1"/>
    <col min="4" max="6" width="9.140625" style="1" hidden="1"/>
    <col min="7" max="7" width="6.7109375" style="34" customWidth="1"/>
    <col min="8" max="8" width="9.140625" style="29"/>
    <col min="9" max="9" width="83" style="29" customWidth="1"/>
    <col min="10" max="10" width="24.28515625" style="30" customWidth="1"/>
    <col min="11" max="13" width="9.140625" style="1" hidden="1"/>
    <col min="14" max="14" width="19" style="1" hidden="1" customWidth="1"/>
    <col min="15" max="15" width="18.7109375" style="1" hidden="1" customWidth="1"/>
    <col min="16" max="16" width="16.42578125" style="1" hidden="1" customWidth="1"/>
    <col min="17" max="21" width="14.5703125" style="1" hidden="1" customWidth="1"/>
    <col min="22" max="22" width="26.140625" style="1" hidden="1" customWidth="1"/>
    <col min="23" max="27" width="19.7109375" style="1" hidden="1" customWidth="1"/>
    <col min="28" max="28" width="11" style="1" hidden="1" customWidth="1"/>
    <col min="29" max="32" width="9.140625" style="1" hidden="1"/>
    <col min="33" max="1025" width="9.140625" style="1"/>
  </cols>
  <sheetData>
    <row r="1" spans="2:21" hidden="1"/>
    <row r="3" spans="2:21" ht="18" thickBot="1">
      <c r="G3" s="34" t="s">
        <v>0</v>
      </c>
      <c r="H3" s="25" t="s">
        <v>1</v>
      </c>
      <c r="I3" s="26"/>
      <c r="J3" s="39">
        <v>-34</v>
      </c>
      <c r="K3" s="1">
        <v>20</v>
      </c>
      <c r="L3" s="1">
        <v>21</v>
      </c>
      <c r="M3" s="1">
        <v>22</v>
      </c>
      <c r="N3" s="1">
        <v>23</v>
      </c>
      <c r="O3" s="1">
        <v>24</v>
      </c>
      <c r="P3" s="1">
        <v>25</v>
      </c>
      <c r="Q3" s="1">
        <v>26</v>
      </c>
      <c r="R3" s="1">
        <v>27</v>
      </c>
      <c r="S3" s="1">
        <v>28</v>
      </c>
    </row>
    <row r="4" spans="2:21" ht="18" thickBot="1">
      <c r="D4" s="1" t="s">
        <v>2</v>
      </c>
      <c r="H4" s="25"/>
      <c r="I4" s="25"/>
      <c r="J4" s="38"/>
      <c r="M4" s="2">
        <f>(COUNTIFS(J5,"18")*N45)+(COUNTIFS(J5,"19")*N46)+(COUNTIFS(J5,"20")*N47)+(COUNTIFS(J5,"21")*N48)+(COUNTIFS(J5,"22")*N49)+(COUNTIFS(J5,"23")*N50)+(COUNTIFS(J5,"24")*N51)+(COUNTIFS(J5,"25")*N52)+(COUNTIFS(J5,"26")*N53)+(COUNTIFS(J5,"17")*N44)+(COUNTIFS(J5,"16")*N43)+(COUNTIFS(J5,"15")*N42)+(COUNTIFS(J5,"14")*N41)+(COUNTIFS(J5,"13")*N40)+(COUNTIFS(J5,"12")*N39)+(COUNTIFS(J5,"11")*N38)+(COUNTIFS(J5,"10")*N37)+(COUNTIFS(J5,"9")*N36)+(COUNTIFS(J5,"8")*N35)+(COUNTIFS(J5,"7")*N33)+(COUNTIFS(J5,"6")*N32)+(COUNTIFS(J5,"5")*N31)</f>
        <v>-0.19500000000000001</v>
      </c>
    </row>
    <row r="5" spans="2:21" ht="18">
      <c r="C5" s="1" t="s">
        <v>3</v>
      </c>
      <c r="D5" s="1">
        <v>3.33</v>
      </c>
      <c r="G5" s="34" t="s">
        <v>4</v>
      </c>
      <c r="H5" s="25" t="s">
        <v>5</v>
      </c>
      <c r="I5" s="25"/>
      <c r="J5" s="37">
        <v>19</v>
      </c>
      <c r="N5" s="1" t="s">
        <v>6</v>
      </c>
      <c r="O5" s="1">
        <v>1000</v>
      </c>
      <c r="P5" s="1">
        <v>3000</v>
      </c>
      <c r="Q5" s="1">
        <v>4000</v>
      </c>
      <c r="R5" s="1">
        <v>6000</v>
      </c>
      <c r="S5" s="1">
        <v>9000</v>
      </c>
    </row>
    <row r="6" spans="2:21">
      <c r="H6" s="33" t="s">
        <v>7</v>
      </c>
      <c r="I6" s="25"/>
      <c r="J6" s="38"/>
      <c r="M6" s="3" t="s">
        <v>8</v>
      </c>
      <c r="N6" s="4">
        <v>0</v>
      </c>
      <c r="O6" s="5">
        <f>O5*O9</f>
        <v>1000</v>
      </c>
      <c r="P6" s="4">
        <f>P5*P9</f>
        <v>3000</v>
      </c>
      <c r="Q6" s="4">
        <f>Q5*Q9</f>
        <v>4000</v>
      </c>
      <c r="R6" s="4">
        <f>R5*R9</f>
        <v>6000</v>
      </c>
      <c r="S6" s="4">
        <f>S5*S9</f>
        <v>9000</v>
      </c>
    </row>
    <row r="7" spans="2:21" ht="18" thickBot="1">
      <c r="H7" s="25"/>
      <c r="I7" s="25"/>
      <c r="J7" s="38"/>
      <c r="M7" s="17"/>
      <c r="O7" s="24"/>
    </row>
    <row r="8" spans="2:21" ht="18">
      <c r="E8" s="1">
        <v>1</v>
      </c>
      <c r="F8" s="1">
        <v>1</v>
      </c>
      <c r="G8" s="34" t="s">
        <v>9</v>
      </c>
      <c r="H8" s="25" t="s">
        <v>10</v>
      </c>
      <c r="I8" s="25"/>
      <c r="J8" s="37">
        <v>160</v>
      </c>
      <c r="K8" s="1" t="s">
        <v>11</v>
      </c>
      <c r="L8" s="1" t="s">
        <v>12</v>
      </c>
      <c r="M8" s="6">
        <v>2</v>
      </c>
      <c r="N8" s="7" t="s">
        <v>13</v>
      </c>
      <c r="O8" s="7">
        <v>60</v>
      </c>
      <c r="P8" s="7">
        <v>100</v>
      </c>
      <c r="Q8" s="7">
        <v>160</v>
      </c>
      <c r="R8" s="7">
        <v>200</v>
      </c>
      <c r="S8" s="8">
        <v>300</v>
      </c>
      <c r="T8" s="8"/>
      <c r="U8" s="9">
        <f>(COUNTIFS(J8,"100")*P6/1000)+(COUNTIFS(J8,"60")*O6/1000)+(COUNTIFS(J8,"160")*Q6/1000)+(COUNTIFS(J8,"200")*R6/1000)+(COUNTIFS(J8,"300")*S6/1000)</f>
        <v>4</v>
      </c>
    </row>
    <row r="9" spans="2:21" ht="18" thickBot="1">
      <c r="H9" s="25"/>
      <c r="I9" s="25"/>
      <c r="J9" s="38"/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/>
    </row>
    <row r="10" spans="2:21" ht="18">
      <c r="B10" s="1" t="s">
        <v>14</v>
      </c>
      <c r="C10" s="1" t="s">
        <v>15</v>
      </c>
      <c r="D10" s="11">
        <v>20</v>
      </c>
      <c r="E10" s="1">
        <v>2</v>
      </c>
      <c r="F10" s="1">
        <v>2</v>
      </c>
      <c r="G10" s="34" t="s">
        <v>16</v>
      </c>
      <c r="H10" s="25" t="s">
        <v>17</v>
      </c>
      <c r="I10" s="25"/>
      <c r="J10" s="37" t="s">
        <v>18</v>
      </c>
      <c r="M10" s="12"/>
      <c r="N10" s="13" t="s">
        <v>18</v>
      </c>
      <c r="O10" s="13" t="s">
        <v>13</v>
      </c>
      <c r="P10" s="13"/>
      <c r="Q10" s="13"/>
      <c r="R10" s="13"/>
      <c r="S10" s="14"/>
    </row>
    <row r="11" spans="2:21">
      <c r="H11" s="33" t="s">
        <v>19</v>
      </c>
      <c r="I11" s="25"/>
      <c r="J11" s="38"/>
    </row>
    <row r="12" spans="2:21">
      <c r="H12" s="25"/>
      <c r="I12" s="25"/>
      <c r="J12" s="38"/>
    </row>
    <row r="13" spans="2:21">
      <c r="B13" s="1" t="s">
        <v>20</v>
      </c>
      <c r="E13" s="10">
        <f>(((J15*J17)*(J19*J21))/3600*1.2047*1005*(J5-J3))/1000</f>
        <v>1.8715767437500002</v>
      </c>
      <c r="F13" s="15">
        <v>3</v>
      </c>
      <c r="G13" s="35" t="s">
        <v>21</v>
      </c>
      <c r="H13" s="25" t="s">
        <v>22</v>
      </c>
      <c r="I13" s="25"/>
      <c r="J13" s="37" t="s">
        <v>18</v>
      </c>
    </row>
    <row r="14" spans="2:21">
      <c r="H14" s="25"/>
      <c r="I14" s="25"/>
      <c r="J14" s="38"/>
      <c r="M14" s="1">
        <v>3</v>
      </c>
      <c r="N14" s="1">
        <v>1</v>
      </c>
      <c r="O14" s="1">
        <v>2</v>
      </c>
      <c r="P14" s="1">
        <v>3</v>
      </c>
    </row>
    <row r="15" spans="2:21">
      <c r="E15" s="1">
        <v>3</v>
      </c>
      <c r="F15" s="1">
        <v>4</v>
      </c>
      <c r="G15" s="34" t="s">
        <v>23</v>
      </c>
      <c r="H15" s="25" t="s">
        <v>24</v>
      </c>
      <c r="I15" s="25"/>
      <c r="J15" s="37">
        <v>1</v>
      </c>
    </row>
    <row r="16" spans="2:21">
      <c r="H16" s="25"/>
      <c r="I16" s="25"/>
      <c r="J16" s="38"/>
      <c r="N16" s="1" t="s">
        <v>25</v>
      </c>
    </row>
    <row r="17" spans="2:27">
      <c r="F17" s="1">
        <v>5</v>
      </c>
      <c r="G17" s="34" t="s">
        <v>26</v>
      </c>
      <c r="H17" s="25" t="s">
        <v>27</v>
      </c>
      <c r="I17" s="25"/>
      <c r="J17" s="37">
        <v>2.5</v>
      </c>
    </row>
    <row r="18" spans="2:27">
      <c r="H18" s="25"/>
      <c r="I18" s="25"/>
      <c r="J18" s="38"/>
      <c r="M18" s="1">
        <v>4</v>
      </c>
      <c r="N18" s="1" t="s">
        <v>28</v>
      </c>
      <c r="O18" s="1" t="s">
        <v>29</v>
      </c>
      <c r="P18" s="1" t="s">
        <v>30</v>
      </c>
      <c r="Q18" s="1" t="s">
        <v>31</v>
      </c>
      <c r="R18" s="1" t="s">
        <v>32</v>
      </c>
    </row>
    <row r="19" spans="2:27">
      <c r="F19" s="1">
        <v>6</v>
      </c>
      <c r="G19" s="34" t="s">
        <v>33</v>
      </c>
      <c r="H19" s="25" t="s">
        <v>34</v>
      </c>
      <c r="I19" s="25"/>
      <c r="J19" s="37">
        <v>6</v>
      </c>
      <c r="K19" s="1">
        <v>4</v>
      </c>
    </row>
    <row r="20" spans="2:27" ht="18" thickBot="1">
      <c r="H20" s="25"/>
      <c r="I20" s="25"/>
      <c r="J20" s="38"/>
      <c r="M20" s="1">
        <v>5</v>
      </c>
      <c r="N20" s="1" t="s">
        <v>35</v>
      </c>
      <c r="O20" s="1" t="s">
        <v>32</v>
      </c>
      <c r="P20" s="1" t="s">
        <v>28</v>
      </c>
      <c r="Q20" s="1" t="s">
        <v>31</v>
      </c>
      <c r="R20" s="1" t="s">
        <v>36</v>
      </c>
    </row>
    <row r="21" spans="2:27">
      <c r="F21" s="1">
        <v>7</v>
      </c>
      <c r="G21" s="34" t="s">
        <v>37</v>
      </c>
      <c r="H21" s="25" t="s">
        <v>38</v>
      </c>
      <c r="I21" s="25"/>
      <c r="J21" s="37">
        <v>7</v>
      </c>
      <c r="M21" s="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16"/>
    </row>
    <row r="22" spans="2:27">
      <c r="H22" s="25"/>
      <c r="I22" s="25"/>
      <c r="J22" s="38"/>
      <c r="M22" s="17" t="s">
        <v>39</v>
      </c>
      <c r="N22" s="1" t="s">
        <v>40</v>
      </c>
      <c r="O22" s="1" t="s">
        <v>41</v>
      </c>
      <c r="P22" s="1" t="s">
        <v>42</v>
      </c>
      <c r="Q22" s="1" t="s">
        <v>43</v>
      </c>
      <c r="R22" s="1" t="s">
        <v>44</v>
      </c>
      <c r="S22" s="1" t="s">
        <v>45</v>
      </c>
      <c r="T22" s="1" t="s">
        <v>46</v>
      </c>
      <c r="U22" s="1" t="s">
        <v>47</v>
      </c>
      <c r="V22" s="1" t="s">
        <v>48</v>
      </c>
      <c r="W22" s="1" t="s">
        <v>49</v>
      </c>
      <c r="X22" s="1" t="s">
        <v>50</v>
      </c>
      <c r="Y22" s="1" t="s">
        <v>51</v>
      </c>
      <c r="Z22" s="1" t="s">
        <v>52</v>
      </c>
      <c r="AA22" s="18" t="s">
        <v>53</v>
      </c>
    </row>
    <row r="23" spans="2:27" ht="35.450000000000003" thickBot="1">
      <c r="B23" s="1" t="s">
        <v>54</v>
      </c>
      <c r="C23" s="1" t="s">
        <v>55</v>
      </c>
      <c r="D23" s="1">
        <f>(COUNTIFS(J23,"базальтовая плита")*(J41/((J25+0.015)/0.045))*(J5-J3)/1000)+(COUNTIFS(J23,"экструдированный пенополистирол")*(J41/((J25+0.01)/0.03))*(J5-J3)/1000)+(COUNTIFS(J23,"пенопласт")*(J41/((J25+0.014)/0.04))*(J5-J3)/1000)+(COUNTIFS(J23,"стекловата")*(J41/((J25+0.015)/0.042))*(J5-J3)/1000+(COUNTIFS(J23,"опилки")*(J41/((J25+0.05)/0.13))*(J5-J3)/1000))</f>
        <v>0</v>
      </c>
      <c r="E23" s="1">
        <v>4</v>
      </c>
      <c r="F23" s="1">
        <v>8</v>
      </c>
      <c r="G23" s="34" t="s">
        <v>56</v>
      </c>
      <c r="H23" s="25" t="s">
        <v>57</v>
      </c>
      <c r="I23" s="25"/>
      <c r="J23" s="37" t="s">
        <v>29</v>
      </c>
      <c r="K23" s="1" t="s">
        <v>58</v>
      </c>
      <c r="L23" s="1" t="s">
        <v>59</v>
      </c>
      <c r="M23" s="6">
        <v>0.12</v>
      </c>
      <c r="N23" s="7">
        <v>0.25</v>
      </c>
      <c r="O23" s="7">
        <v>0.32</v>
      </c>
      <c r="P23" s="7">
        <v>0.375</v>
      </c>
      <c r="Q23" s="7">
        <v>0.25</v>
      </c>
      <c r="R23" s="7">
        <v>0.2</v>
      </c>
      <c r="S23" s="7">
        <v>0.15</v>
      </c>
      <c r="T23" s="7">
        <v>0.18</v>
      </c>
      <c r="U23" s="7">
        <v>0.2</v>
      </c>
      <c r="V23" s="7">
        <v>0.2</v>
      </c>
      <c r="W23" s="19">
        <v>0.2</v>
      </c>
      <c r="X23" s="7">
        <v>0.3</v>
      </c>
      <c r="Y23" s="7">
        <v>0.4</v>
      </c>
      <c r="Z23" s="7">
        <v>0.2</v>
      </c>
      <c r="AA23" s="8">
        <v>0.3</v>
      </c>
    </row>
    <row r="24" spans="2:27">
      <c r="H24" s="25"/>
      <c r="I24" s="25"/>
      <c r="J24" s="38"/>
      <c r="M24" s="17"/>
      <c r="W24" s="56"/>
    </row>
    <row r="25" spans="2:27">
      <c r="B25" s="1" t="s">
        <v>60</v>
      </c>
      <c r="C25" s="1" t="s">
        <v>55</v>
      </c>
      <c r="D25" s="1">
        <f>(COUNTIFS(J31,"дополнительное утепление")*(J40/(M23/0.03))*(J5-J3)/1000)+(COUNTIFS(J31,"брус 18 см")*(J40/(T23/0.14))*(J5-J3)/1000)+(COUNTIFS(J31,"в 2 кирпича")*(J40/(N23/0.52))*(J5-J3)/1000)+(COUNTIFS(J31,"в 2,5 кирпича")*(J40/(O23/0.52))*(J5-J3)/1000)+(COUNTIFS(J31,"в 3 кирпича")*(J40/(P23/0.52))*(J5-J3)/1000)+(COUNTIFS(J31,"бревно 25 см")*(J40/(Q23/0.13))*(J5-J3)/1000)+(COUNTIFS(J31,"бревно 20 см")*(J40/(R23/0.13))*(J5-J3)/1000)+(COUNTIFS(J31,"брус 15 см")*(J40/(S23/0.14))*(J5-J3)/1000)+(COUNTIFS(J31,"брус 20 см")*(J40/(U23/0.14))*(J5-J3)/1000)+(COUNTIFS(J31,"каркас доска минвата 20 см")*(J40/(V23/0.05))*(J5-J3)/1000)+(COUNTIFS(J31,"газобетон D400 20 см")*(J40/(W23/0.14))*(J5-J3)/1000)+(COUNTIFS(J31,"газобетон D400 30 см")*(J40/(X23/0.14))*(J5-J3)/1000)+(COUNTIFS(J31,"газобетон D400 40 см")*(J40/(Y23/0.14))*(J5-J3)/1000)+(COUNTIFS(J31,"пенобетон 20 см")*(J40/(Z23/0.14))*(J5-J3)/1000)+(COUNTIFS(J31,"пенобетон 30 см")*(J40/(AA23/0.14))*(J5-J3)/1000)+0</f>
        <v>3.2153333333333336</v>
      </c>
      <c r="G25" s="34" t="s">
        <v>61</v>
      </c>
      <c r="H25" s="25" t="s">
        <v>62</v>
      </c>
      <c r="J25" s="37">
        <v>0.1</v>
      </c>
      <c r="M25" s="17">
        <v>7</v>
      </c>
      <c r="N25" s="1" t="s">
        <v>63</v>
      </c>
      <c r="O25" s="1" t="s">
        <v>64</v>
      </c>
      <c r="Z25" s="18"/>
    </row>
    <row r="26" spans="2:27">
      <c r="J26" s="38"/>
      <c r="M26" s="17"/>
      <c r="Z26" s="18"/>
    </row>
    <row r="27" spans="2:27" ht="18" thickBot="1">
      <c r="B27" s="1" t="s">
        <v>65</v>
      </c>
      <c r="C27" s="1" t="s">
        <v>55</v>
      </c>
      <c r="D27" s="1">
        <f>(COUNTIFS(J27,"доска без утепления")*(J42/(J29/0.14))*(J5+5)/1000)+(COUNTIFS(J27,"опилки")*(J42/((J29+0.05)/0.13))*(J5+5)/1000)+(COUNTIFS(J27,"базальтовая плита")*(J42/((J29+0.017)/0.045))*(J5+5)/1000)+(COUNTIFS(J27,"стекловата")*(J42/((J29+0.017)/0.05))*(J5+5)/1000)+(COUNTIFS(J27,"монолитный фундамент")*(J42/(J29/0.15))*(J5+5)/1000)+0</f>
        <v>0.87359999999999993</v>
      </c>
      <c r="E27" s="1">
        <v>5</v>
      </c>
      <c r="F27" s="1">
        <v>9</v>
      </c>
      <c r="G27" s="34" t="s">
        <v>66</v>
      </c>
      <c r="H27" s="25" t="s">
        <v>67</v>
      </c>
      <c r="I27" s="25"/>
      <c r="J27" s="37" t="s">
        <v>32</v>
      </c>
      <c r="K27" s="1" t="s">
        <v>68</v>
      </c>
      <c r="L27" s="1" t="s">
        <v>69</v>
      </c>
      <c r="M27" s="6"/>
      <c r="N27" s="7">
        <v>162</v>
      </c>
      <c r="O27" s="7">
        <v>128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8"/>
    </row>
    <row r="28" spans="2:27">
      <c r="H28" s="25"/>
      <c r="I28" s="25"/>
      <c r="J28" s="38"/>
    </row>
    <row r="29" spans="2:27">
      <c r="G29" s="34" t="s">
        <v>70</v>
      </c>
      <c r="H29" s="61" t="s">
        <v>71</v>
      </c>
      <c r="I29" s="61"/>
      <c r="J29" s="37">
        <v>0.1</v>
      </c>
    </row>
    <row r="30" spans="2:27">
      <c r="H30" s="55"/>
      <c r="I30" s="55"/>
      <c r="J30" s="38"/>
    </row>
    <row r="31" spans="2:27">
      <c r="E31" s="1">
        <v>6</v>
      </c>
      <c r="F31" s="1">
        <v>10</v>
      </c>
      <c r="G31" s="34" t="s">
        <v>72</v>
      </c>
      <c r="H31" s="25" t="s">
        <v>73</v>
      </c>
      <c r="I31" s="25"/>
      <c r="J31" s="37" t="s">
        <v>45</v>
      </c>
      <c r="M31" s="1">
        <v>5</v>
      </c>
      <c r="N31" s="1">
        <f>-6.8*(J40*J17*J15)/1000</f>
        <v>-1.105</v>
      </c>
    </row>
    <row r="32" spans="2:27">
      <c r="C32" s="1" t="s">
        <v>74</v>
      </c>
      <c r="D32" s="1" t="s">
        <v>75</v>
      </c>
      <c r="H32" s="25"/>
      <c r="I32" s="25"/>
      <c r="J32" s="38"/>
      <c r="L32" s="1">
        <v>17.8</v>
      </c>
      <c r="M32" s="1">
        <v>6</v>
      </c>
      <c r="N32" s="1">
        <f>-6.4*(J40*J17*J15)/1000</f>
        <v>-1.04</v>
      </c>
    </row>
    <row r="33" spans="3:14" ht="34.9">
      <c r="C33" s="1">
        <v>162</v>
      </c>
      <c r="D33" s="1">
        <v>128</v>
      </c>
      <c r="E33" s="1">
        <v>7</v>
      </c>
      <c r="F33" s="1">
        <v>11</v>
      </c>
      <c r="G33" s="34" t="s">
        <v>76</v>
      </c>
      <c r="H33" s="25" t="s">
        <v>77</v>
      </c>
      <c r="I33" s="25"/>
      <c r="J33" s="37" t="s">
        <v>64</v>
      </c>
      <c r="M33" s="1">
        <v>7</v>
      </c>
      <c r="N33" s="1">
        <f>-6*(J40*J17*J15)/1000</f>
        <v>-0.97499999999999998</v>
      </c>
    </row>
    <row r="34" spans="3:14">
      <c r="H34" s="25"/>
      <c r="I34" s="25"/>
      <c r="J34" s="38"/>
    </row>
    <row r="35" spans="3:14">
      <c r="G35" s="34" t="s">
        <v>78</v>
      </c>
      <c r="H35" s="25" t="s">
        <v>79</v>
      </c>
      <c r="I35" s="25"/>
      <c r="J35" s="37">
        <v>4</v>
      </c>
      <c r="M35" s="1">
        <v>8</v>
      </c>
      <c r="N35" s="1">
        <f>-5.6*(J40*J17*J15)/1000</f>
        <v>-0.90999999999999992</v>
      </c>
    </row>
    <row r="36" spans="3:14">
      <c r="I36" s="25"/>
      <c r="M36" s="1">
        <v>9</v>
      </c>
      <c r="N36" s="1">
        <f>-5.2*(J40*J17*J15)/1000</f>
        <v>-0.84499999999999997</v>
      </c>
    </row>
    <row r="37" spans="3:14" hidden="1">
      <c r="I37" s="25"/>
      <c r="M37" s="1">
        <v>10</v>
      </c>
      <c r="N37" s="1">
        <f>-4.8*(J40*J17*J15)/1000</f>
        <v>-0.78</v>
      </c>
    </row>
    <row r="38" spans="3:14" hidden="1">
      <c r="I38" s="25" t="s">
        <v>80</v>
      </c>
      <c r="M38" s="1">
        <v>11</v>
      </c>
      <c r="N38" s="1">
        <f>-4.4*(J40*J17*J15)/1000</f>
        <v>-0.71500000000000008</v>
      </c>
    </row>
    <row r="39" spans="3:14" hidden="1">
      <c r="I39" s="25"/>
      <c r="M39" s="1">
        <v>12</v>
      </c>
      <c r="N39" s="1">
        <f>-4*(J40*J17*J15)/1000</f>
        <v>-0.65</v>
      </c>
    </row>
    <row r="40" spans="3:14" ht="18" hidden="1" thickBot="1">
      <c r="I40" s="25" t="s">
        <v>81</v>
      </c>
      <c r="J40" s="40">
        <f>J15*J17*(J19*2+J21*2)</f>
        <v>65</v>
      </c>
      <c r="M40" s="1">
        <v>13</v>
      </c>
      <c r="N40" s="1">
        <f>-3.6*(J40*J17*J15)/1000</f>
        <v>-0.58499999999999996</v>
      </c>
    </row>
    <row r="41" spans="3:14" ht="18" hidden="1" thickBot="1">
      <c r="I41" s="25" t="s">
        <v>82</v>
      </c>
      <c r="J41" s="40">
        <f>J19*J21</f>
        <v>42</v>
      </c>
      <c r="M41" s="1">
        <v>14</v>
      </c>
      <c r="N41" s="1">
        <f>-3.2*(J40*J17*J15)/1000</f>
        <v>-0.52</v>
      </c>
    </row>
    <row r="42" spans="3:14" ht="18" hidden="1" thickBot="1">
      <c r="I42" s="25" t="s">
        <v>83</v>
      </c>
      <c r="J42" s="40">
        <f>J19*J21</f>
        <v>42</v>
      </c>
      <c r="M42" s="1">
        <v>15</v>
      </c>
      <c r="N42" s="1">
        <f>-2.8*(J40*J17*J15)/1000</f>
        <v>-0.45499999999999996</v>
      </c>
    </row>
    <row r="43" spans="3:14" hidden="1">
      <c r="I43" s="25"/>
      <c r="J43" s="41"/>
      <c r="M43" s="1">
        <v>16</v>
      </c>
      <c r="N43" s="1">
        <f>-2.4*(J40*J17*J15)/1000</f>
        <v>-0.39</v>
      </c>
    </row>
    <row r="44" spans="3:14" ht="18" hidden="1" thickBot="1">
      <c r="I44" s="25" t="s">
        <v>84</v>
      </c>
      <c r="J44" s="42">
        <f>D25</f>
        <v>3.2153333333333336</v>
      </c>
      <c r="M44" s="1">
        <v>17</v>
      </c>
      <c r="N44" s="1">
        <f>-2*(J40*J17*J15)/1000</f>
        <v>-0.32500000000000001</v>
      </c>
    </row>
    <row r="45" spans="3:14" ht="18" hidden="1" thickBot="1">
      <c r="I45" s="25" t="s">
        <v>85</v>
      </c>
      <c r="J45" s="42">
        <f>(COUNTIFS(J33,"обычное окно с 2 рамами")*C33*J35/1000)+(COUNTIFS(J33,"двухкамерный  стеклопакет")*D33*J35/1000)</f>
        <v>0.51200000000000001</v>
      </c>
      <c r="K45" s="1">
        <v>12.4</v>
      </c>
      <c r="M45" s="1">
        <v>18</v>
      </c>
      <c r="N45" s="1">
        <f>-1.6*(J40*J17*J15)/1000</f>
        <v>-0.26</v>
      </c>
    </row>
    <row r="46" spans="3:14" ht="18" hidden="1" thickBot="1">
      <c r="I46" s="25" t="s">
        <v>86</v>
      </c>
      <c r="J46" s="42">
        <f>D23</f>
        <v>0</v>
      </c>
      <c r="K46" s="1">
        <v>1.2</v>
      </c>
      <c r="M46" s="1">
        <v>19</v>
      </c>
      <c r="N46" s="1">
        <f>-1.2*(J40*J17*J15)/1000</f>
        <v>-0.19500000000000001</v>
      </c>
    </row>
    <row r="47" spans="3:14" ht="18" hidden="1" thickBot="1">
      <c r="I47" s="25" t="s">
        <v>87</v>
      </c>
      <c r="J47" s="42">
        <f>D27</f>
        <v>0.87359999999999993</v>
      </c>
      <c r="K47" s="1">
        <v>2</v>
      </c>
      <c r="M47" s="1">
        <v>20</v>
      </c>
      <c r="N47" s="1">
        <f>-0.8*(J42*J17*J15)/1000</f>
        <v>-8.4000000000000005E-2</v>
      </c>
    </row>
    <row r="48" spans="3:14" ht="18" hidden="1" thickBot="1">
      <c r="I48" s="25" t="s">
        <v>88</v>
      </c>
      <c r="J48" s="42">
        <f>(COUNTIFS(J13,"да")*E13)</f>
        <v>1.8715767437500002</v>
      </c>
      <c r="K48" s="1">
        <v>1.6</v>
      </c>
      <c r="M48" s="1">
        <v>21</v>
      </c>
      <c r="N48" s="1">
        <f>-0.4*(J42*J17*J15)/1000</f>
        <v>-4.2000000000000003E-2</v>
      </c>
    </row>
    <row r="49" spans="1:1025" hidden="1">
      <c r="I49" s="25"/>
      <c r="J49" s="41"/>
      <c r="M49" s="1">
        <v>22</v>
      </c>
      <c r="N49" s="1">
        <v>0</v>
      </c>
    </row>
    <row r="50" spans="1:1025" ht="18" hidden="1" thickBot="1">
      <c r="I50" s="25" t="s">
        <v>89</v>
      </c>
      <c r="J50" s="43">
        <f>(COUNTIFS(J10,"да")*D10*((J42*J17)*J15)/1000)+J44+J45+J46+J47+J48</f>
        <v>8.5725100770833329</v>
      </c>
      <c r="M50" s="1">
        <v>23</v>
      </c>
      <c r="N50" s="1">
        <f>0.7*(J42*J17*J15)/1000</f>
        <v>7.3499999999999996E-2</v>
      </c>
    </row>
    <row r="51" spans="1:1025">
      <c r="J51" s="41"/>
      <c r="M51" s="1">
        <v>24</v>
      </c>
      <c r="N51" s="1">
        <f>1.7*(J42*J17*J15)/1000</f>
        <v>0.17849999999999999</v>
      </c>
    </row>
    <row r="52" spans="1:1025" ht="21" customHeight="1">
      <c r="I52" s="46" t="s">
        <v>90</v>
      </c>
      <c r="J52" s="58">
        <f>J50*1.15+U8</f>
        <v>13.858386588645832</v>
      </c>
      <c r="M52" s="1">
        <v>25</v>
      </c>
      <c r="N52" s="1">
        <f>2.2*(J42*J17*J15)/1000</f>
        <v>0.23100000000000004</v>
      </c>
    </row>
    <row r="53" spans="1:1025" s="47" customFormat="1">
      <c r="G53" s="36"/>
      <c r="H53" s="48"/>
      <c r="I53" s="48" t="s">
        <v>91</v>
      </c>
      <c r="J53" s="49"/>
      <c r="M53" s="47">
        <v>26</v>
      </c>
      <c r="N53" s="47">
        <f>3.3*(J42*J17*J15)/1000</f>
        <v>0.34649999999999997</v>
      </c>
    </row>
    <row r="54" spans="1:1025" s="20" customFormat="1">
      <c r="G54" s="36"/>
      <c r="H54" s="31"/>
      <c r="I54" s="31"/>
      <c r="J54" s="41"/>
    </row>
    <row r="55" spans="1:1025" ht="20.45" customHeight="1">
      <c r="I55" s="46" t="s">
        <v>92</v>
      </c>
      <c r="J55" s="58">
        <f>(99/70)*J52</f>
        <v>19.599718175370533</v>
      </c>
    </row>
    <row r="56" spans="1:1025" s="52" customFormat="1">
      <c r="A56" s="50"/>
      <c r="B56" s="50"/>
      <c r="C56" s="50"/>
      <c r="D56" s="50"/>
      <c r="E56" s="50"/>
      <c r="F56" s="50"/>
      <c r="G56" s="34"/>
      <c r="H56" s="51"/>
      <c r="I56" s="48" t="s">
        <v>93</v>
      </c>
      <c r="J56" s="49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50"/>
      <c r="SD56" s="50"/>
      <c r="SE56" s="50"/>
      <c r="SF56" s="50"/>
      <c r="SG56" s="50"/>
      <c r="SH56" s="50"/>
      <c r="SI56" s="50"/>
      <c r="SJ56" s="50"/>
      <c r="SK56" s="50"/>
      <c r="SL56" s="50"/>
      <c r="SM56" s="50"/>
      <c r="SN56" s="50"/>
      <c r="SO56" s="50"/>
      <c r="SP56" s="50"/>
      <c r="SQ56" s="50"/>
      <c r="SR56" s="50"/>
      <c r="SS56" s="50"/>
      <c r="ST56" s="50"/>
      <c r="SU56" s="50"/>
      <c r="SV56" s="50"/>
      <c r="SW56" s="50"/>
      <c r="SX56" s="50"/>
      <c r="SY56" s="50"/>
      <c r="SZ56" s="50"/>
      <c r="TA56" s="50"/>
      <c r="TB56" s="50"/>
      <c r="TC56" s="50"/>
      <c r="TD56" s="50"/>
      <c r="TE56" s="50"/>
      <c r="TF56" s="50"/>
      <c r="TG56" s="50"/>
      <c r="TH56" s="50"/>
      <c r="TI56" s="50"/>
      <c r="TJ56" s="50"/>
      <c r="TK56" s="50"/>
      <c r="TL56" s="50"/>
      <c r="TM56" s="50"/>
      <c r="TN56" s="50"/>
      <c r="TO56" s="50"/>
      <c r="TP56" s="50"/>
      <c r="TQ56" s="50"/>
      <c r="TR56" s="50"/>
      <c r="TS56" s="50"/>
      <c r="TT56" s="50"/>
      <c r="TU56" s="50"/>
      <c r="TV56" s="50"/>
      <c r="TW56" s="50"/>
      <c r="TX56" s="50"/>
      <c r="TY56" s="50"/>
      <c r="TZ56" s="50"/>
      <c r="UA56" s="50"/>
      <c r="UB56" s="50"/>
      <c r="UC56" s="50"/>
      <c r="UD56" s="50"/>
      <c r="UE56" s="50"/>
      <c r="UF56" s="50"/>
      <c r="UG56" s="50"/>
      <c r="UH56" s="50"/>
      <c r="UI56" s="50"/>
      <c r="UJ56" s="50"/>
      <c r="UK56" s="50"/>
      <c r="UL56" s="50"/>
      <c r="UM56" s="50"/>
      <c r="UN56" s="50"/>
      <c r="UO56" s="50"/>
      <c r="UP56" s="50"/>
      <c r="UQ56" s="50"/>
      <c r="UR56" s="50"/>
      <c r="US56" s="50"/>
      <c r="UT56" s="50"/>
      <c r="UU56" s="50"/>
      <c r="UV56" s="50"/>
      <c r="UW56" s="50"/>
      <c r="UX56" s="50"/>
      <c r="UY56" s="50"/>
      <c r="UZ56" s="50"/>
      <c r="VA56" s="50"/>
      <c r="VB56" s="50"/>
      <c r="VC56" s="50"/>
      <c r="VD56" s="50"/>
      <c r="VE56" s="50"/>
      <c r="VF56" s="50"/>
      <c r="VG56" s="50"/>
      <c r="VH56" s="50"/>
      <c r="VI56" s="50"/>
      <c r="VJ56" s="50"/>
      <c r="VK56" s="50"/>
      <c r="VL56" s="50"/>
      <c r="VM56" s="50"/>
      <c r="VN56" s="50"/>
      <c r="VO56" s="50"/>
      <c r="VP56" s="50"/>
      <c r="VQ56" s="50"/>
      <c r="VR56" s="50"/>
      <c r="VS56" s="50"/>
      <c r="VT56" s="50"/>
      <c r="VU56" s="50"/>
      <c r="VV56" s="50"/>
      <c r="VW56" s="50"/>
      <c r="VX56" s="50"/>
      <c r="VY56" s="50"/>
      <c r="VZ56" s="50"/>
      <c r="WA56" s="50"/>
      <c r="WB56" s="50"/>
      <c r="WC56" s="50"/>
      <c r="WD56" s="50"/>
      <c r="WE56" s="50"/>
      <c r="WF56" s="50"/>
      <c r="WG56" s="50"/>
      <c r="WH56" s="50"/>
      <c r="WI56" s="50"/>
      <c r="WJ56" s="50"/>
      <c r="WK56" s="50"/>
      <c r="WL56" s="50"/>
      <c r="WM56" s="50"/>
      <c r="WN56" s="50"/>
      <c r="WO56" s="50"/>
      <c r="WP56" s="50"/>
      <c r="WQ56" s="50"/>
      <c r="WR56" s="50"/>
      <c r="WS56" s="50"/>
      <c r="WT56" s="50"/>
      <c r="WU56" s="50"/>
      <c r="WV56" s="50"/>
      <c r="WW56" s="50"/>
      <c r="WX56" s="50"/>
      <c r="WY56" s="50"/>
      <c r="WZ56" s="50"/>
      <c r="XA56" s="50"/>
      <c r="XB56" s="50"/>
      <c r="XC56" s="50"/>
      <c r="XD56" s="50"/>
      <c r="XE56" s="50"/>
      <c r="XF56" s="50"/>
      <c r="XG56" s="50"/>
      <c r="XH56" s="50"/>
      <c r="XI56" s="50"/>
      <c r="XJ56" s="50"/>
      <c r="XK56" s="50"/>
      <c r="XL56" s="50"/>
      <c r="XM56" s="50"/>
      <c r="XN56" s="50"/>
      <c r="XO56" s="50"/>
      <c r="XP56" s="50"/>
      <c r="XQ56" s="50"/>
      <c r="XR56" s="50"/>
      <c r="XS56" s="50"/>
      <c r="XT56" s="50"/>
      <c r="XU56" s="50"/>
      <c r="XV56" s="50"/>
      <c r="XW56" s="50"/>
      <c r="XX56" s="50"/>
      <c r="XY56" s="50"/>
      <c r="XZ56" s="50"/>
      <c r="YA56" s="50"/>
      <c r="YB56" s="50"/>
      <c r="YC56" s="50"/>
      <c r="YD56" s="50"/>
      <c r="YE56" s="50"/>
      <c r="YF56" s="50"/>
      <c r="YG56" s="50"/>
      <c r="YH56" s="50"/>
      <c r="YI56" s="50"/>
      <c r="YJ56" s="50"/>
      <c r="YK56" s="50"/>
      <c r="YL56" s="50"/>
      <c r="YM56" s="50"/>
      <c r="YN56" s="50"/>
      <c r="YO56" s="50"/>
      <c r="YP56" s="50"/>
      <c r="YQ56" s="50"/>
      <c r="YR56" s="50"/>
      <c r="YS56" s="50"/>
      <c r="YT56" s="50"/>
      <c r="YU56" s="50"/>
      <c r="YV56" s="50"/>
      <c r="YW56" s="50"/>
      <c r="YX56" s="50"/>
      <c r="YY56" s="50"/>
      <c r="YZ56" s="50"/>
      <c r="ZA56" s="50"/>
      <c r="ZB56" s="50"/>
      <c r="ZC56" s="50"/>
      <c r="ZD56" s="50"/>
      <c r="ZE56" s="50"/>
      <c r="ZF56" s="50"/>
      <c r="ZG56" s="50"/>
      <c r="ZH56" s="50"/>
      <c r="ZI56" s="50"/>
      <c r="ZJ56" s="50"/>
      <c r="ZK56" s="50"/>
      <c r="ZL56" s="50"/>
      <c r="ZM56" s="50"/>
      <c r="ZN56" s="50"/>
      <c r="ZO56" s="50"/>
      <c r="ZP56" s="50"/>
      <c r="ZQ56" s="50"/>
      <c r="ZR56" s="50"/>
      <c r="ZS56" s="50"/>
      <c r="ZT56" s="50"/>
      <c r="ZU56" s="50"/>
      <c r="ZV56" s="50"/>
      <c r="ZW56" s="50"/>
      <c r="ZX56" s="50"/>
      <c r="ZY56" s="50"/>
      <c r="ZZ56" s="50"/>
      <c r="AAA56" s="50"/>
      <c r="AAB56" s="50"/>
      <c r="AAC56" s="50"/>
      <c r="AAD56" s="50"/>
      <c r="AAE56" s="50"/>
      <c r="AAF56" s="50"/>
      <c r="AAG56" s="50"/>
      <c r="AAH56" s="50"/>
      <c r="AAI56" s="50"/>
      <c r="AAJ56" s="50"/>
      <c r="AAK56" s="50"/>
      <c r="AAL56" s="50"/>
      <c r="AAM56" s="50"/>
      <c r="AAN56" s="50"/>
      <c r="AAO56" s="50"/>
      <c r="AAP56" s="50"/>
      <c r="AAQ56" s="50"/>
      <c r="AAR56" s="50"/>
      <c r="AAS56" s="50"/>
      <c r="AAT56" s="50"/>
      <c r="AAU56" s="50"/>
      <c r="AAV56" s="50"/>
      <c r="AAW56" s="50"/>
      <c r="AAX56" s="50"/>
      <c r="AAY56" s="50"/>
      <c r="AAZ56" s="50"/>
      <c r="ABA56" s="50"/>
      <c r="ABB56" s="50"/>
      <c r="ABC56" s="50"/>
      <c r="ABD56" s="50"/>
      <c r="ABE56" s="50"/>
      <c r="ABF56" s="50"/>
      <c r="ABG56" s="50"/>
      <c r="ABH56" s="50"/>
      <c r="ABI56" s="50"/>
      <c r="ABJ56" s="50"/>
      <c r="ABK56" s="50"/>
      <c r="ABL56" s="50"/>
      <c r="ABM56" s="50"/>
      <c r="ABN56" s="50"/>
      <c r="ABO56" s="50"/>
      <c r="ABP56" s="50"/>
      <c r="ABQ56" s="50"/>
      <c r="ABR56" s="50"/>
      <c r="ABS56" s="50"/>
      <c r="ABT56" s="50"/>
      <c r="ABU56" s="50"/>
      <c r="ABV56" s="50"/>
      <c r="ABW56" s="50"/>
      <c r="ABX56" s="50"/>
      <c r="ABY56" s="50"/>
      <c r="ABZ56" s="50"/>
      <c r="ACA56" s="50"/>
      <c r="ACB56" s="50"/>
      <c r="ACC56" s="50"/>
      <c r="ACD56" s="50"/>
      <c r="ACE56" s="50"/>
      <c r="ACF56" s="50"/>
      <c r="ACG56" s="50"/>
      <c r="ACH56" s="50"/>
      <c r="ACI56" s="50"/>
      <c r="ACJ56" s="50"/>
      <c r="ACK56" s="50"/>
      <c r="ACL56" s="50"/>
      <c r="ACM56" s="50"/>
      <c r="ACN56" s="50"/>
      <c r="ACO56" s="50"/>
      <c r="ACP56" s="50"/>
      <c r="ACQ56" s="50"/>
      <c r="ACR56" s="50"/>
      <c r="ACS56" s="50"/>
      <c r="ACT56" s="50"/>
      <c r="ACU56" s="50"/>
      <c r="ACV56" s="50"/>
      <c r="ACW56" s="50"/>
      <c r="ACX56" s="50"/>
      <c r="ACY56" s="50"/>
      <c r="ACZ56" s="50"/>
      <c r="ADA56" s="50"/>
      <c r="ADB56" s="50"/>
      <c r="ADC56" s="50"/>
      <c r="ADD56" s="50"/>
      <c r="ADE56" s="50"/>
      <c r="ADF56" s="50"/>
      <c r="ADG56" s="50"/>
      <c r="ADH56" s="50"/>
      <c r="ADI56" s="50"/>
      <c r="ADJ56" s="50"/>
      <c r="ADK56" s="50"/>
      <c r="ADL56" s="50"/>
      <c r="ADM56" s="50"/>
      <c r="ADN56" s="50"/>
      <c r="ADO56" s="50"/>
      <c r="ADP56" s="50"/>
      <c r="ADQ56" s="50"/>
      <c r="ADR56" s="50"/>
      <c r="ADS56" s="50"/>
      <c r="ADT56" s="50"/>
      <c r="ADU56" s="50"/>
      <c r="ADV56" s="50"/>
      <c r="ADW56" s="50"/>
      <c r="ADX56" s="50"/>
      <c r="ADY56" s="50"/>
      <c r="ADZ56" s="50"/>
      <c r="AEA56" s="50"/>
      <c r="AEB56" s="50"/>
      <c r="AEC56" s="50"/>
      <c r="AED56" s="50"/>
      <c r="AEE56" s="50"/>
      <c r="AEF56" s="50"/>
      <c r="AEG56" s="50"/>
      <c r="AEH56" s="50"/>
      <c r="AEI56" s="50"/>
      <c r="AEJ56" s="50"/>
      <c r="AEK56" s="50"/>
      <c r="AEL56" s="50"/>
      <c r="AEM56" s="50"/>
      <c r="AEN56" s="50"/>
      <c r="AEO56" s="50"/>
      <c r="AEP56" s="50"/>
      <c r="AEQ56" s="50"/>
      <c r="AER56" s="50"/>
      <c r="AES56" s="50"/>
      <c r="AET56" s="50"/>
      <c r="AEU56" s="50"/>
      <c r="AEV56" s="50"/>
      <c r="AEW56" s="50"/>
      <c r="AEX56" s="50"/>
      <c r="AEY56" s="50"/>
      <c r="AEZ56" s="50"/>
      <c r="AFA56" s="50"/>
      <c r="AFB56" s="50"/>
      <c r="AFC56" s="50"/>
      <c r="AFD56" s="50"/>
      <c r="AFE56" s="50"/>
      <c r="AFF56" s="50"/>
      <c r="AFG56" s="50"/>
      <c r="AFH56" s="50"/>
      <c r="AFI56" s="50"/>
      <c r="AFJ56" s="50"/>
      <c r="AFK56" s="50"/>
      <c r="AFL56" s="50"/>
      <c r="AFM56" s="50"/>
      <c r="AFN56" s="50"/>
      <c r="AFO56" s="50"/>
      <c r="AFP56" s="50"/>
      <c r="AFQ56" s="50"/>
      <c r="AFR56" s="50"/>
      <c r="AFS56" s="50"/>
      <c r="AFT56" s="50"/>
      <c r="AFU56" s="50"/>
      <c r="AFV56" s="50"/>
      <c r="AFW56" s="50"/>
      <c r="AFX56" s="50"/>
      <c r="AFY56" s="50"/>
      <c r="AFZ56" s="50"/>
      <c r="AGA56" s="50"/>
      <c r="AGB56" s="50"/>
      <c r="AGC56" s="50"/>
      <c r="AGD56" s="50"/>
      <c r="AGE56" s="50"/>
      <c r="AGF56" s="50"/>
      <c r="AGG56" s="50"/>
      <c r="AGH56" s="50"/>
      <c r="AGI56" s="50"/>
      <c r="AGJ56" s="50"/>
      <c r="AGK56" s="50"/>
      <c r="AGL56" s="50"/>
      <c r="AGM56" s="50"/>
      <c r="AGN56" s="50"/>
      <c r="AGO56" s="50"/>
      <c r="AGP56" s="50"/>
      <c r="AGQ56" s="50"/>
      <c r="AGR56" s="50"/>
      <c r="AGS56" s="50"/>
      <c r="AGT56" s="50"/>
      <c r="AGU56" s="50"/>
      <c r="AGV56" s="50"/>
      <c r="AGW56" s="50"/>
      <c r="AGX56" s="50"/>
      <c r="AGY56" s="50"/>
      <c r="AGZ56" s="50"/>
      <c r="AHA56" s="50"/>
      <c r="AHB56" s="50"/>
      <c r="AHC56" s="50"/>
      <c r="AHD56" s="50"/>
      <c r="AHE56" s="50"/>
      <c r="AHF56" s="50"/>
      <c r="AHG56" s="50"/>
      <c r="AHH56" s="50"/>
      <c r="AHI56" s="50"/>
      <c r="AHJ56" s="50"/>
      <c r="AHK56" s="50"/>
      <c r="AHL56" s="50"/>
      <c r="AHM56" s="50"/>
      <c r="AHN56" s="50"/>
      <c r="AHO56" s="50"/>
      <c r="AHP56" s="50"/>
      <c r="AHQ56" s="50"/>
      <c r="AHR56" s="50"/>
      <c r="AHS56" s="50"/>
      <c r="AHT56" s="50"/>
      <c r="AHU56" s="50"/>
      <c r="AHV56" s="50"/>
      <c r="AHW56" s="50"/>
      <c r="AHX56" s="50"/>
      <c r="AHY56" s="50"/>
      <c r="AHZ56" s="50"/>
      <c r="AIA56" s="50"/>
      <c r="AIB56" s="50"/>
      <c r="AIC56" s="50"/>
      <c r="AID56" s="50"/>
      <c r="AIE56" s="50"/>
      <c r="AIF56" s="50"/>
      <c r="AIG56" s="50"/>
      <c r="AIH56" s="50"/>
      <c r="AII56" s="50"/>
      <c r="AIJ56" s="50"/>
      <c r="AIK56" s="50"/>
      <c r="AIL56" s="50"/>
      <c r="AIM56" s="50"/>
      <c r="AIN56" s="50"/>
      <c r="AIO56" s="50"/>
      <c r="AIP56" s="50"/>
      <c r="AIQ56" s="50"/>
      <c r="AIR56" s="50"/>
      <c r="AIS56" s="50"/>
      <c r="AIT56" s="50"/>
      <c r="AIU56" s="50"/>
      <c r="AIV56" s="50"/>
      <c r="AIW56" s="50"/>
      <c r="AIX56" s="50"/>
      <c r="AIY56" s="50"/>
      <c r="AIZ56" s="50"/>
      <c r="AJA56" s="50"/>
      <c r="AJB56" s="50"/>
      <c r="AJC56" s="50"/>
      <c r="AJD56" s="50"/>
      <c r="AJE56" s="50"/>
      <c r="AJF56" s="50"/>
      <c r="AJG56" s="50"/>
      <c r="AJH56" s="50"/>
      <c r="AJI56" s="50"/>
      <c r="AJJ56" s="50"/>
      <c r="AJK56" s="50"/>
      <c r="AJL56" s="50"/>
      <c r="AJM56" s="50"/>
      <c r="AJN56" s="50"/>
      <c r="AJO56" s="50"/>
      <c r="AJP56" s="50"/>
      <c r="AJQ56" s="50"/>
      <c r="AJR56" s="50"/>
      <c r="AJS56" s="50"/>
      <c r="AJT56" s="50"/>
      <c r="AJU56" s="50"/>
      <c r="AJV56" s="50"/>
      <c r="AJW56" s="50"/>
      <c r="AJX56" s="50"/>
      <c r="AJY56" s="50"/>
      <c r="AJZ56" s="50"/>
      <c r="AKA56" s="50"/>
      <c r="AKB56" s="50"/>
      <c r="AKC56" s="50"/>
      <c r="AKD56" s="50"/>
      <c r="AKE56" s="50"/>
      <c r="AKF56" s="50"/>
      <c r="AKG56" s="50"/>
      <c r="AKH56" s="50"/>
      <c r="AKI56" s="50"/>
      <c r="AKJ56" s="50"/>
      <c r="AKK56" s="50"/>
      <c r="AKL56" s="50"/>
      <c r="AKM56" s="50"/>
      <c r="AKN56" s="50"/>
      <c r="AKO56" s="50"/>
      <c r="AKP56" s="50"/>
      <c r="AKQ56" s="50"/>
      <c r="AKR56" s="50"/>
      <c r="AKS56" s="50"/>
      <c r="AKT56" s="50"/>
      <c r="AKU56" s="50"/>
      <c r="AKV56" s="50"/>
      <c r="AKW56" s="50"/>
      <c r="AKX56" s="50"/>
      <c r="AKY56" s="50"/>
      <c r="AKZ56" s="50"/>
      <c r="ALA56" s="50"/>
      <c r="ALB56" s="50"/>
      <c r="ALC56" s="50"/>
      <c r="ALD56" s="50"/>
      <c r="ALE56" s="50"/>
      <c r="ALF56" s="50"/>
      <c r="ALG56" s="50"/>
      <c r="ALH56" s="50"/>
      <c r="ALI56" s="50"/>
      <c r="ALJ56" s="50"/>
      <c r="ALK56" s="50"/>
      <c r="ALL56" s="50"/>
      <c r="ALM56" s="50"/>
      <c r="ALN56" s="50"/>
      <c r="ALO56" s="50"/>
      <c r="ALP56" s="50"/>
      <c r="ALQ56" s="50"/>
      <c r="ALR56" s="50"/>
      <c r="ALS56" s="50"/>
      <c r="ALT56" s="50"/>
      <c r="ALU56" s="50"/>
      <c r="ALV56" s="50"/>
      <c r="ALW56" s="50"/>
      <c r="ALX56" s="50"/>
      <c r="ALY56" s="50"/>
      <c r="ALZ56" s="50"/>
      <c r="AMA56" s="50"/>
      <c r="AMB56" s="50"/>
      <c r="AMC56" s="50"/>
      <c r="AMD56" s="50"/>
      <c r="AME56" s="50"/>
      <c r="AMF56" s="50"/>
      <c r="AMG56" s="50"/>
      <c r="AMH56" s="50"/>
      <c r="AMI56" s="50"/>
      <c r="AMJ56" s="50"/>
      <c r="AMK56" s="50"/>
    </row>
    <row r="57" spans="1:1025">
      <c r="J57" s="44"/>
    </row>
    <row r="58" spans="1:1025">
      <c r="I58" s="57" t="s">
        <v>94</v>
      </c>
      <c r="J58" s="59" t="s">
        <v>95</v>
      </c>
      <c r="L58" s="1">
        <v>145</v>
      </c>
      <c r="M58" s="1">
        <v>165</v>
      </c>
      <c r="N58" s="1">
        <v>135</v>
      </c>
      <c r="O58" s="1">
        <v>159</v>
      </c>
      <c r="P58" s="1">
        <v>165</v>
      </c>
      <c r="R58" s="1">
        <v>1155</v>
      </c>
      <c r="S58" s="1">
        <v>660</v>
      </c>
      <c r="T58" s="1">
        <v>980</v>
      </c>
      <c r="U58" s="1">
        <v>1200</v>
      </c>
    </row>
    <row r="59" spans="1:1025">
      <c r="I59" s="60" t="s">
        <v>96</v>
      </c>
      <c r="J59" s="58">
        <f>(COUNTIFS(I59,"биметалл плюс")*((J50*1000)/P60))+(COUNTIFS(I59,"биметалл стандарт")*((J50*1000)/O60))+(COUNTIFS(I59,"биметалл лайт")*((J50*1000)/N60))+(COUNTIFS(I59,"алюминий стандарт")*((J50*1000)/M60))+(COUNTIFS(I59,"алюминий лайт")*((J50*1000)/L60))</f>
        <v>48.572214159914623</v>
      </c>
      <c r="L59" s="1" t="s">
        <v>97</v>
      </c>
      <c r="M59" s="1" t="s">
        <v>98</v>
      </c>
      <c r="N59" s="1" t="s">
        <v>99</v>
      </c>
      <c r="O59" s="1" t="s">
        <v>96</v>
      </c>
      <c r="P59" s="1" t="s">
        <v>100</v>
      </c>
      <c r="R59" s="1" t="s">
        <v>101</v>
      </c>
      <c r="S59" s="1" t="s">
        <v>102</v>
      </c>
      <c r="T59" s="1" t="s">
        <v>103</v>
      </c>
      <c r="U59" s="1" t="s">
        <v>104</v>
      </c>
    </row>
    <row r="60" spans="1:1025" hidden="1">
      <c r="I60" s="27"/>
      <c r="J60" s="53"/>
      <c r="L60" s="1">
        <f>L58*1.11</f>
        <v>160.95000000000002</v>
      </c>
      <c r="M60" s="1">
        <f>M58*1.11</f>
        <v>183.15</v>
      </c>
      <c r="N60" s="1">
        <f>N58*1.11</f>
        <v>149.85000000000002</v>
      </c>
      <c r="O60" s="1">
        <f>O58*1.11</f>
        <v>176.49</v>
      </c>
      <c r="P60" s="1">
        <f>P58*1.11</f>
        <v>183.15</v>
      </c>
      <c r="Q60" s="1" t="s">
        <v>105</v>
      </c>
      <c r="R60" s="1">
        <f>R58*1.11</f>
        <v>1282.0500000000002</v>
      </c>
      <c r="S60" s="1">
        <f>S58*1.11</f>
        <v>732.6</v>
      </c>
      <c r="T60" s="1">
        <f>T58*1.11</f>
        <v>1087.8000000000002</v>
      </c>
      <c r="U60" s="1">
        <f>U58*1.11</f>
        <v>1332.0000000000002</v>
      </c>
    </row>
    <row r="61" spans="1:1025" hidden="1">
      <c r="I61" s="32" t="s">
        <v>106</v>
      </c>
      <c r="J61" s="41"/>
      <c r="L61" s="1" t="s">
        <v>107</v>
      </c>
      <c r="M61" s="1" t="s">
        <v>108</v>
      </c>
      <c r="N61" s="1" t="s">
        <v>109</v>
      </c>
      <c r="O61" s="1" t="s">
        <v>110</v>
      </c>
      <c r="P61" s="1" t="s">
        <v>111</v>
      </c>
      <c r="Q61" s="1" t="s">
        <v>112</v>
      </c>
    </row>
    <row r="62" spans="1:1025" ht="18" hidden="1" thickBot="1">
      <c r="I62" s="28" t="s">
        <v>108</v>
      </c>
      <c r="J62" s="45">
        <f>(COUNTIFS(I62,"алюминий S9 350")*((J50*1000)/L62))+(COUNTIFS(I62,"биметалл S9 350")*((J50*1000)/M62))+(COUNTIFS(I62,"биметалл S9 200")*((J50*1000)/N62))+(COUNTIFS(I62,"Корвет б/м 350/100")*((J50*1000)/O62))+(COUNTIFS(I62,"Корвет 500")*((J50*1000)/P62))+(COUNTIFS(I62,"Фрегат 500")*((J50*1000)/Q62))</f>
        <v>57.207274455010548</v>
      </c>
      <c r="L62" s="1">
        <f t="shared" ref="L62:Q62" si="0">L63*1.11</f>
        <v>129.87</v>
      </c>
      <c r="M62" s="1">
        <f t="shared" si="0"/>
        <v>149.85000000000002</v>
      </c>
      <c r="N62" s="1">
        <f t="shared" si="0"/>
        <v>79.92</v>
      </c>
      <c r="O62" s="1">
        <f t="shared" si="0"/>
        <v>182.04000000000002</v>
      </c>
      <c r="P62" s="1">
        <f t="shared" si="0"/>
        <v>216.45000000000002</v>
      </c>
      <c r="Q62" s="1">
        <f t="shared" si="0"/>
        <v>179.82000000000002</v>
      </c>
      <c r="R62" s="1" t="s">
        <v>105</v>
      </c>
    </row>
    <row r="63" spans="1:1025" hidden="1">
      <c r="I63" s="27"/>
      <c r="J63" s="41"/>
      <c r="L63" s="1">
        <v>117</v>
      </c>
      <c r="M63" s="1">
        <v>135</v>
      </c>
      <c r="N63" s="1">
        <v>72</v>
      </c>
      <c r="O63" s="1">
        <v>164</v>
      </c>
      <c r="P63" s="1">
        <v>195</v>
      </c>
      <c r="Q63" s="1">
        <v>162</v>
      </c>
    </row>
    <row r="64" spans="1:1025" ht="34.9" hidden="1">
      <c r="I64" s="32" t="s">
        <v>113</v>
      </c>
      <c r="J64" s="44" t="s">
        <v>114</v>
      </c>
    </row>
    <row r="65" spans="1:1025" ht="18" hidden="1" thickBot="1">
      <c r="I65" s="28" t="s">
        <v>104</v>
      </c>
      <c r="J65" s="45">
        <f>(COUNTIFS(I65,"чугун 500 7 секц")*((J50*1000)/R60))+(COUNTIFS(I65,"чугун 500 4 секц")*((J50*1000)/S60))+(COUNTIFS(I65,"чугун 300 7 секц")*((J50*1000)/T60))+(COUNTIFS(I65,"чугун Китай 10 секц")*((J50*1000)/U60))</f>
        <v>6.4358183761886867</v>
      </c>
    </row>
    <row r="66" spans="1:1025" hidden="1">
      <c r="J66" s="41"/>
    </row>
    <row r="67" spans="1:1025" hidden="1">
      <c r="J67" s="41"/>
    </row>
    <row r="68" spans="1:1025" hidden="1"/>
    <row r="69" spans="1:1025" hidden="1"/>
    <row r="70" spans="1:1025" s="52" customFormat="1">
      <c r="A70" s="50"/>
      <c r="B70" s="50"/>
      <c r="C70" s="50"/>
      <c r="D70" s="50"/>
      <c r="E70" s="50"/>
      <c r="F70" s="50"/>
      <c r="G70" s="34"/>
      <c r="H70" s="51"/>
      <c r="I70" s="51" t="s">
        <v>115</v>
      </c>
      <c r="J70" s="54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  <c r="LC70" s="50"/>
      <c r="LD70" s="50"/>
      <c r="LE70" s="50"/>
      <c r="LF70" s="50"/>
      <c r="LG70" s="50"/>
      <c r="LH70" s="50"/>
      <c r="LI70" s="50"/>
      <c r="LJ70" s="50"/>
      <c r="LK70" s="50"/>
      <c r="LL70" s="50"/>
      <c r="LM70" s="50"/>
      <c r="LN70" s="50"/>
      <c r="LO70" s="50"/>
      <c r="LP70" s="50"/>
      <c r="LQ70" s="50"/>
      <c r="LR70" s="50"/>
      <c r="LS70" s="50"/>
      <c r="LT70" s="50"/>
      <c r="LU70" s="50"/>
      <c r="LV70" s="50"/>
      <c r="LW70" s="50"/>
      <c r="LX70" s="50"/>
      <c r="LY70" s="50"/>
      <c r="LZ70" s="50"/>
      <c r="MA70" s="50"/>
      <c r="MB70" s="50"/>
      <c r="MC70" s="50"/>
      <c r="MD70" s="50"/>
      <c r="ME70" s="50"/>
      <c r="MF70" s="50"/>
      <c r="MG70" s="50"/>
      <c r="MH70" s="50"/>
      <c r="MI70" s="50"/>
      <c r="MJ70" s="50"/>
      <c r="MK70" s="50"/>
      <c r="ML70" s="50"/>
      <c r="MM70" s="50"/>
      <c r="MN70" s="50"/>
      <c r="MO70" s="50"/>
      <c r="MP70" s="50"/>
      <c r="MQ70" s="50"/>
      <c r="MR70" s="50"/>
      <c r="MS70" s="50"/>
      <c r="MT70" s="50"/>
      <c r="MU70" s="50"/>
      <c r="MV70" s="50"/>
      <c r="MW70" s="50"/>
      <c r="MX70" s="50"/>
      <c r="MY70" s="50"/>
      <c r="MZ70" s="50"/>
      <c r="NA70" s="50"/>
      <c r="NB70" s="50"/>
      <c r="NC70" s="50"/>
      <c r="ND70" s="50"/>
      <c r="NE70" s="50"/>
      <c r="NF70" s="50"/>
      <c r="NG70" s="50"/>
      <c r="NH70" s="50"/>
      <c r="NI70" s="50"/>
      <c r="NJ70" s="50"/>
      <c r="NK70" s="50"/>
      <c r="NL70" s="50"/>
      <c r="NM70" s="50"/>
      <c r="NN70" s="50"/>
      <c r="NO70" s="50"/>
      <c r="NP70" s="50"/>
      <c r="NQ70" s="50"/>
      <c r="NR70" s="50"/>
      <c r="NS70" s="50"/>
      <c r="NT70" s="50"/>
      <c r="NU70" s="50"/>
      <c r="NV70" s="50"/>
      <c r="NW70" s="50"/>
      <c r="NX70" s="50"/>
      <c r="NY70" s="50"/>
      <c r="NZ70" s="50"/>
      <c r="OA70" s="50"/>
      <c r="OB70" s="50"/>
      <c r="OC70" s="50"/>
      <c r="OD70" s="50"/>
      <c r="OE70" s="50"/>
      <c r="OF70" s="50"/>
      <c r="OG70" s="50"/>
      <c r="OH70" s="50"/>
      <c r="OI70" s="50"/>
      <c r="OJ70" s="50"/>
      <c r="OK70" s="50"/>
      <c r="OL70" s="50"/>
      <c r="OM70" s="50"/>
      <c r="ON70" s="50"/>
      <c r="OO70" s="50"/>
      <c r="OP70" s="50"/>
      <c r="OQ70" s="50"/>
      <c r="OR70" s="50"/>
      <c r="OS70" s="50"/>
      <c r="OT70" s="50"/>
      <c r="OU70" s="50"/>
      <c r="OV70" s="50"/>
      <c r="OW70" s="50"/>
      <c r="OX70" s="50"/>
      <c r="OY70" s="50"/>
      <c r="OZ70" s="50"/>
      <c r="PA70" s="50"/>
      <c r="PB70" s="50"/>
      <c r="PC70" s="50"/>
      <c r="PD70" s="50"/>
      <c r="PE70" s="50"/>
      <c r="PF70" s="50"/>
      <c r="PG70" s="50"/>
      <c r="PH70" s="50"/>
      <c r="PI70" s="50"/>
      <c r="PJ70" s="50"/>
      <c r="PK70" s="50"/>
      <c r="PL70" s="50"/>
      <c r="PM70" s="50"/>
      <c r="PN70" s="50"/>
      <c r="PO70" s="50"/>
      <c r="PP70" s="50"/>
      <c r="PQ70" s="50"/>
      <c r="PR70" s="50"/>
      <c r="PS70" s="50"/>
      <c r="PT70" s="50"/>
      <c r="PU70" s="50"/>
      <c r="PV70" s="50"/>
      <c r="PW70" s="50"/>
      <c r="PX70" s="50"/>
      <c r="PY70" s="50"/>
      <c r="PZ70" s="50"/>
      <c r="QA70" s="50"/>
      <c r="QB70" s="50"/>
      <c r="QC70" s="50"/>
      <c r="QD70" s="50"/>
      <c r="QE70" s="50"/>
      <c r="QF70" s="50"/>
      <c r="QG70" s="50"/>
      <c r="QH70" s="50"/>
      <c r="QI70" s="50"/>
      <c r="QJ70" s="50"/>
      <c r="QK70" s="50"/>
      <c r="QL70" s="50"/>
      <c r="QM70" s="50"/>
      <c r="QN70" s="50"/>
      <c r="QO70" s="50"/>
      <c r="QP70" s="50"/>
      <c r="QQ70" s="50"/>
      <c r="QR70" s="50"/>
      <c r="QS70" s="50"/>
      <c r="QT70" s="50"/>
      <c r="QU70" s="50"/>
      <c r="QV70" s="50"/>
      <c r="QW70" s="50"/>
      <c r="QX70" s="50"/>
      <c r="QY70" s="50"/>
      <c r="QZ70" s="50"/>
      <c r="RA70" s="50"/>
      <c r="RB70" s="50"/>
      <c r="RC70" s="50"/>
      <c r="RD70" s="50"/>
      <c r="RE70" s="50"/>
      <c r="RF70" s="50"/>
      <c r="RG70" s="50"/>
      <c r="RH70" s="50"/>
      <c r="RI70" s="50"/>
      <c r="RJ70" s="50"/>
      <c r="RK70" s="50"/>
      <c r="RL70" s="50"/>
      <c r="RM70" s="50"/>
      <c r="RN70" s="50"/>
      <c r="RO70" s="50"/>
      <c r="RP70" s="50"/>
      <c r="RQ70" s="50"/>
      <c r="RR70" s="50"/>
      <c r="RS70" s="50"/>
      <c r="RT70" s="50"/>
      <c r="RU70" s="50"/>
      <c r="RV70" s="50"/>
      <c r="RW70" s="50"/>
      <c r="RX70" s="50"/>
      <c r="RY70" s="50"/>
      <c r="RZ70" s="50"/>
      <c r="SA70" s="50"/>
      <c r="SB70" s="50"/>
      <c r="SC70" s="50"/>
      <c r="SD70" s="50"/>
      <c r="SE70" s="50"/>
      <c r="SF70" s="50"/>
      <c r="SG70" s="50"/>
      <c r="SH70" s="50"/>
      <c r="SI70" s="50"/>
      <c r="SJ70" s="50"/>
      <c r="SK70" s="50"/>
      <c r="SL70" s="50"/>
      <c r="SM70" s="50"/>
      <c r="SN70" s="50"/>
      <c r="SO70" s="50"/>
      <c r="SP70" s="50"/>
      <c r="SQ70" s="50"/>
      <c r="SR70" s="50"/>
      <c r="SS70" s="50"/>
      <c r="ST70" s="50"/>
      <c r="SU70" s="50"/>
      <c r="SV70" s="50"/>
      <c r="SW70" s="50"/>
      <c r="SX70" s="50"/>
      <c r="SY70" s="50"/>
      <c r="SZ70" s="50"/>
      <c r="TA70" s="50"/>
      <c r="TB70" s="50"/>
      <c r="TC70" s="50"/>
      <c r="TD70" s="50"/>
      <c r="TE70" s="50"/>
      <c r="TF70" s="50"/>
      <c r="TG70" s="50"/>
      <c r="TH70" s="50"/>
      <c r="TI70" s="50"/>
      <c r="TJ70" s="50"/>
      <c r="TK70" s="50"/>
      <c r="TL70" s="50"/>
      <c r="TM70" s="50"/>
      <c r="TN70" s="50"/>
      <c r="TO70" s="50"/>
      <c r="TP70" s="50"/>
      <c r="TQ70" s="50"/>
      <c r="TR70" s="50"/>
      <c r="TS70" s="50"/>
      <c r="TT70" s="50"/>
      <c r="TU70" s="50"/>
      <c r="TV70" s="50"/>
      <c r="TW70" s="50"/>
      <c r="TX70" s="50"/>
      <c r="TY70" s="50"/>
      <c r="TZ70" s="50"/>
      <c r="UA70" s="50"/>
      <c r="UB70" s="50"/>
      <c r="UC70" s="50"/>
      <c r="UD70" s="50"/>
      <c r="UE70" s="50"/>
      <c r="UF70" s="50"/>
      <c r="UG70" s="50"/>
      <c r="UH70" s="50"/>
      <c r="UI70" s="50"/>
      <c r="UJ70" s="50"/>
      <c r="UK70" s="50"/>
      <c r="UL70" s="50"/>
      <c r="UM70" s="50"/>
      <c r="UN70" s="50"/>
      <c r="UO70" s="50"/>
      <c r="UP70" s="50"/>
      <c r="UQ70" s="50"/>
      <c r="UR70" s="50"/>
      <c r="US70" s="50"/>
      <c r="UT70" s="50"/>
      <c r="UU70" s="50"/>
      <c r="UV70" s="50"/>
      <c r="UW70" s="50"/>
      <c r="UX70" s="50"/>
      <c r="UY70" s="50"/>
      <c r="UZ70" s="50"/>
      <c r="VA70" s="50"/>
      <c r="VB70" s="50"/>
      <c r="VC70" s="50"/>
      <c r="VD70" s="50"/>
      <c r="VE70" s="50"/>
      <c r="VF70" s="50"/>
      <c r="VG70" s="50"/>
      <c r="VH70" s="50"/>
      <c r="VI70" s="50"/>
      <c r="VJ70" s="50"/>
      <c r="VK70" s="50"/>
      <c r="VL70" s="50"/>
      <c r="VM70" s="50"/>
      <c r="VN70" s="50"/>
      <c r="VO70" s="50"/>
      <c r="VP70" s="50"/>
      <c r="VQ70" s="50"/>
      <c r="VR70" s="50"/>
      <c r="VS70" s="50"/>
      <c r="VT70" s="50"/>
      <c r="VU70" s="50"/>
      <c r="VV70" s="50"/>
      <c r="VW70" s="50"/>
      <c r="VX70" s="50"/>
      <c r="VY70" s="50"/>
      <c r="VZ70" s="50"/>
      <c r="WA70" s="50"/>
      <c r="WB70" s="50"/>
      <c r="WC70" s="50"/>
      <c r="WD70" s="50"/>
      <c r="WE70" s="50"/>
      <c r="WF70" s="50"/>
      <c r="WG70" s="50"/>
      <c r="WH70" s="50"/>
      <c r="WI70" s="50"/>
      <c r="WJ70" s="50"/>
      <c r="WK70" s="50"/>
      <c r="WL70" s="50"/>
      <c r="WM70" s="50"/>
      <c r="WN70" s="50"/>
      <c r="WO70" s="50"/>
      <c r="WP70" s="50"/>
      <c r="WQ70" s="50"/>
      <c r="WR70" s="50"/>
      <c r="WS70" s="50"/>
      <c r="WT70" s="50"/>
      <c r="WU70" s="50"/>
      <c r="WV70" s="50"/>
      <c r="WW70" s="50"/>
      <c r="WX70" s="50"/>
      <c r="WY70" s="50"/>
      <c r="WZ70" s="50"/>
      <c r="XA70" s="50"/>
      <c r="XB70" s="50"/>
      <c r="XC70" s="50"/>
      <c r="XD70" s="50"/>
      <c r="XE70" s="50"/>
      <c r="XF70" s="50"/>
      <c r="XG70" s="50"/>
      <c r="XH70" s="50"/>
      <c r="XI70" s="50"/>
      <c r="XJ70" s="50"/>
      <c r="XK70" s="50"/>
      <c r="XL70" s="50"/>
      <c r="XM70" s="50"/>
      <c r="XN70" s="50"/>
      <c r="XO70" s="50"/>
      <c r="XP70" s="50"/>
      <c r="XQ70" s="50"/>
      <c r="XR70" s="50"/>
      <c r="XS70" s="50"/>
      <c r="XT70" s="50"/>
      <c r="XU70" s="50"/>
      <c r="XV70" s="50"/>
      <c r="XW70" s="50"/>
      <c r="XX70" s="50"/>
      <c r="XY70" s="50"/>
      <c r="XZ70" s="50"/>
      <c r="YA70" s="50"/>
      <c r="YB70" s="50"/>
      <c r="YC70" s="50"/>
      <c r="YD70" s="50"/>
      <c r="YE70" s="50"/>
      <c r="YF70" s="50"/>
      <c r="YG70" s="50"/>
      <c r="YH70" s="50"/>
      <c r="YI70" s="50"/>
      <c r="YJ70" s="50"/>
      <c r="YK70" s="50"/>
      <c r="YL70" s="50"/>
      <c r="YM70" s="50"/>
      <c r="YN70" s="50"/>
      <c r="YO70" s="50"/>
      <c r="YP70" s="50"/>
      <c r="YQ70" s="50"/>
      <c r="YR70" s="50"/>
      <c r="YS70" s="50"/>
      <c r="YT70" s="50"/>
      <c r="YU70" s="50"/>
      <c r="YV70" s="50"/>
      <c r="YW70" s="50"/>
      <c r="YX70" s="50"/>
      <c r="YY70" s="50"/>
      <c r="YZ70" s="50"/>
      <c r="ZA70" s="50"/>
      <c r="ZB70" s="50"/>
      <c r="ZC70" s="50"/>
      <c r="ZD70" s="50"/>
      <c r="ZE70" s="50"/>
      <c r="ZF70" s="50"/>
      <c r="ZG70" s="50"/>
      <c r="ZH70" s="50"/>
      <c r="ZI70" s="50"/>
      <c r="ZJ70" s="50"/>
      <c r="ZK70" s="50"/>
      <c r="ZL70" s="50"/>
      <c r="ZM70" s="50"/>
      <c r="ZN70" s="50"/>
      <c r="ZO70" s="50"/>
      <c r="ZP70" s="50"/>
      <c r="ZQ70" s="50"/>
      <c r="ZR70" s="50"/>
      <c r="ZS70" s="50"/>
      <c r="ZT70" s="50"/>
      <c r="ZU70" s="50"/>
      <c r="ZV70" s="50"/>
      <c r="ZW70" s="50"/>
      <c r="ZX70" s="50"/>
      <c r="ZY70" s="50"/>
      <c r="ZZ70" s="50"/>
      <c r="AAA70" s="50"/>
      <c r="AAB70" s="50"/>
      <c r="AAC70" s="50"/>
      <c r="AAD70" s="50"/>
      <c r="AAE70" s="50"/>
      <c r="AAF70" s="50"/>
      <c r="AAG70" s="50"/>
      <c r="AAH70" s="50"/>
      <c r="AAI70" s="50"/>
      <c r="AAJ70" s="50"/>
      <c r="AAK70" s="50"/>
      <c r="AAL70" s="50"/>
      <c r="AAM70" s="50"/>
      <c r="AAN70" s="50"/>
      <c r="AAO70" s="50"/>
      <c r="AAP70" s="50"/>
      <c r="AAQ70" s="50"/>
      <c r="AAR70" s="50"/>
      <c r="AAS70" s="50"/>
      <c r="AAT70" s="50"/>
      <c r="AAU70" s="50"/>
      <c r="AAV70" s="50"/>
      <c r="AAW70" s="50"/>
      <c r="AAX70" s="50"/>
      <c r="AAY70" s="50"/>
      <c r="AAZ70" s="50"/>
      <c r="ABA70" s="50"/>
      <c r="ABB70" s="50"/>
      <c r="ABC70" s="50"/>
      <c r="ABD70" s="50"/>
      <c r="ABE70" s="50"/>
      <c r="ABF70" s="50"/>
      <c r="ABG70" s="50"/>
      <c r="ABH70" s="50"/>
      <c r="ABI70" s="50"/>
      <c r="ABJ70" s="50"/>
      <c r="ABK70" s="50"/>
      <c r="ABL70" s="50"/>
      <c r="ABM70" s="50"/>
      <c r="ABN70" s="50"/>
      <c r="ABO70" s="50"/>
      <c r="ABP70" s="50"/>
      <c r="ABQ70" s="50"/>
      <c r="ABR70" s="50"/>
      <c r="ABS70" s="50"/>
      <c r="ABT70" s="50"/>
      <c r="ABU70" s="50"/>
      <c r="ABV70" s="50"/>
      <c r="ABW70" s="50"/>
      <c r="ABX70" s="50"/>
      <c r="ABY70" s="50"/>
      <c r="ABZ70" s="50"/>
      <c r="ACA70" s="50"/>
      <c r="ACB70" s="50"/>
      <c r="ACC70" s="50"/>
      <c r="ACD70" s="50"/>
      <c r="ACE70" s="50"/>
      <c r="ACF70" s="50"/>
      <c r="ACG70" s="50"/>
      <c r="ACH70" s="50"/>
      <c r="ACI70" s="50"/>
      <c r="ACJ70" s="50"/>
      <c r="ACK70" s="50"/>
      <c r="ACL70" s="50"/>
      <c r="ACM70" s="50"/>
      <c r="ACN70" s="50"/>
      <c r="ACO70" s="50"/>
      <c r="ACP70" s="50"/>
      <c r="ACQ70" s="50"/>
      <c r="ACR70" s="50"/>
      <c r="ACS70" s="50"/>
      <c r="ACT70" s="50"/>
      <c r="ACU70" s="50"/>
      <c r="ACV70" s="50"/>
      <c r="ACW70" s="50"/>
      <c r="ACX70" s="50"/>
      <c r="ACY70" s="50"/>
      <c r="ACZ70" s="50"/>
      <c r="ADA70" s="50"/>
      <c r="ADB70" s="50"/>
      <c r="ADC70" s="50"/>
      <c r="ADD70" s="50"/>
      <c r="ADE70" s="50"/>
      <c r="ADF70" s="50"/>
      <c r="ADG70" s="50"/>
      <c r="ADH70" s="50"/>
      <c r="ADI70" s="50"/>
      <c r="ADJ70" s="50"/>
      <c r="ADK70" s="50"/>
      <c r="ADL70" s="50"/>
      <c r="ADM70" s="50"/>
      <c r="ADN70" s="50"/>
      <c r="ADO70" s="50"/>
      <c r="ADP70" s="50"/>
      <c r="ADQ70" s="50"/>
      <c r="ADR70" s="50"/>
      <c r="ADS70" s="50"/>
      <c r="ADT70" s="50"/>
      <c r="ADU70" s="50"/>
      <c r="ADV70" s="50"/>
      <c r="ADW70" s="50"/>
      <c r="ADX70" s="50"/>
      <c r="ADY70" s="50"/>
      <c r="ADZ70" s="50"/>
      <c r="AEA70" s="50"/>
      <c r="AEB70" s="50"/>
      <c r="AEC70" s="50"/>
      <c r="AED70" s="50"/>
      <c r="AEE70" s="50"/>
      <c r="AEF70" s="50"/>
      <c r="AEG70" s="50"/>
      <c r="AEH70" s="50"/>
      <c r="AEI70" s="50"/>
      <c r="AEJ70" s="50"/>
      <c r="AEK70" s="50"/>
      <c r="AEL70" s="50"/>
      <c r="AEM70" s="50"/>
      <c r="AEN70" s="50"/>
      <c r="AEO70" s="50"/>
      <c r="AEP70" s="50"/>
      <c r="AEQ70" s="50"/>
      <c r="AER70" s="50"/>
      <c r="AES70" s="50"/>
      <c r="AET70" s="50"/>
      <c r="AEU70" s="50"/>
      <c r="AEV70" s="50"/>
      <c r="AEW70" s="50"/>
      <c r="AEX70" s="50"/>
      <c r="AEY70" s="50"/>
      <c r="AEZ70" s="50"/>
      <c r="AFA70" s="50"/>
      <c r="AFB70" s="50"/>
      <c r="AFC70" s="50"/>
      <c r="AFD70" s="50"/>
      <c r="AFE70" s="50"/>
      <c r="AFF70" s="50"/>
      <c r="AFG70" s="50"/>
      <c r="AFH70" s="50"/>
      <c r="AFI70" s="50"/>
      <c r="AFJ70" s="50"/>
      <c r="AFK70" s="50"/>
      <c r="AFL70" s="50"/>
      <c r="AFM70" s="50"/>
      <c r="AFN70" s="50"/>
      <c r="AFO70" s="50"/>
      <c r="AFP70" s="50"/>
      <c r="AFQ70" s="50"/>
      <c r="AFR70" s="50"/>
      <c r="AFS70" s="50"/>
      <c r="AFT70" s="50"/>
      <c r="AFU70" s="50"/>
      <c r="AFV70" s="50"/>
      <c r="AFW70" s="50"/>
      <c r="AFX70" s="50"/>
      <c r="AFY70" s="50"/>
      <c r="AFZ70" s="50"/>
      <c r="AGA70" s="50"/>
      <c r="AGB70" s="50"/>
      <c r="AGC70" s="50"/>
      <c r="AGD70" s="50"/>
      <c r="AGE70" s="50"/>
      <c r="AGF70" s="50"/>
      <c r="AGG70" s="50"/>
      <c r="AGH70" s="50"/>
      <c r="AGI70" s="50"/>
      <c r="AGJ70" s="50"/>
      <c r="AGK70" s="50"/>
      <c r="AGL70" s="50"/>
      <c r="AGM70" s="50"/>
      <c r="AGN70" s="50"/>
      <c r="AGO70" s="50"/>
      <c r="AGP70" s="50"/>
      <c r="AGQ70" s="50"/>
      <c r="AGR70" s="50"/>
      <c r="AGS70" s="50"/>
      <c r="AGT70" s="50"/>
      <c r="AGU70" s="50"/>
      <c r="AGV70" s="50"/>
      <c r="AGW70" s="50"/>
      <c r="AGX70" s="50"/>
      <c r="AGY70" s="50"/>
      <c r="AGZ70" s="50"/>
      <c r="AHA70" s="50"/>
      <c r="AHB70" s="50"/>
      <c r="AHC70" s="50"/>
      <c r="AHD70" s="50"/>
      <c r="AHE70" s="50"/>
      <c r="AHF70" s="50"/>
      <c r="AHG70" s="50"/>
      <c r="AHH70" s="50"/>
      <c r="AHI70" s="50"/>
      <c r="AHJ70" s="50"/>
      <c r="AHK70" s="50"/>
      <c r="AHL70" s="50"/>
      <c r="AHM70" s="50"/>
      <c r="AHN70" s="50"/>
      <c r="AHO70" s="50"/>
      <c r="AHP70" s="50"/>
      <c r="AHQ70" s="50"/>
      <c r="AHR70" s="50"/>
      <c r="AHS70" s="50"/>
      <c r="AHT70" s="50"/>
      <c r="AHU70" s="50"/>
      <c r="AHV70" s="50"/>
      <c r="AHW70" s="50"/>
      <c r="AHX70" s="50"/>
      <c r="AHY70" s="50"/>
      <c r="AHZ70" s="50"/>
      <c r="AIA70" s="50"/>
      <c r="AIB70" s="50"/>
      <c r="AIC70" s="50"/>
      <c r="AID70" s="50"/>
      <c r="AIE70" s="50"/>
      <c r="AIF70" s="50"/>
      <c r="AIG70" s="50"/>
      <c r="AIH70" s="50"/>
      <c r="AII70" s="50"/>
      <c r="AIJ70" s="50"/>
      <c r="AIK70" s="50"/>
      <c r="AIL70" s="50"/>
      <c r="AIM70" s="50"/>
      <c r="AIN70" s="50"/>
      <c r="AIO70" s="50"/>
      <c r="AIP70" s="50"/>
      <c r="AIQ70" s="50"/>
      <c r="AIR70" s="50"/>
      <c r="AIS70" s="50"/>
      <c r="AIT70" s="50"/>
      <c r="AIU70" s="50"/>
      <c r="AIV70" s="50"/>
      <c r="AIW70" s="50"/>
      <c r="AIX70" s="50"/>
      <c r="AIY70" s="50"/>
      <c r="AIZ70" s="50"/>
      <c r="AJA70" s="50"/>
      <c r="AJB70" s="50"/>
      <c r="AJC70" s="50"/>
      <c r="AJD70" s="50"/>
      <c r="AJE70" s="50"/>
      <c r="AJF70" s="50"/>
      <c r="AJG70" s="50"/>
      <c r="AJH70" s="50"/>
      <c r="AJI70" s="50"/>
      <c r="AJJ70" s="50"/>
      <c r="AJK70" s="50"/>
      <c r="AJL70" s="50"/>
      <c r="AJM70" s="50"/>
      <c r="AJN70" s="50"/>
      <c r="AJO70" s="50"/>
      <c r="AJP70" s="50"/>
      <c r="AJQ70" s="50"/>
      <c r="AJR70" s="50"/>
      <c r="AJS70" s="50"/>
      <c r="AJT70" s="50"/>
      <c r="AJU70" s="50"/>
      <c r="AJV70" s="50"/>
      <c r="AJW70" s="50"/>
      <c r="AJX70" s="50"/>
      <c r="AJY70" s="50"/>
      <c r="AJZ70" s="50"/>
      <c r="AKA70" s="50"/>
      <c r="AKB70" s="50"/>
      <c r="AKC70" s="50"/>
      <c r="AKD70" s="50"/>
      <c r="AKE70" s="50"/>
      <c r="AKF70" s="50"/>
      <c r="AKG70" s="50"/>
      <c r="AKH70" s="50"/>
      <c r="AKI70" s="50"/>
      <c r="AKJ70" s="50"/>
      <c r="AKK70" s="50"/>
      <c r="AKL70" s="50"/>
      <c r="AKM70" s="50"/>
      <c r="AKN70" s="50"/>
      <c r="AKO70" s="50"/>
      <c r="AKP70" s="50"/>
      <c r="AKQ70" s="50"/>
      <c r="AKR70" s="50"/>
      <c r="AKS70" s="50"/>
      <c r="AKT70" s="50"/>
      <c r="AKU70" s="50"/>
      <c r="AKV70" s="50"/>
      <c r="AKW70" s="50"/>
      <c r="AKX70" s="50"/>
      <c r="AKY70" s="50"/>
      <c r="AKZ70" s="50"/>
      <c r="ALA70" s="50"/>
      <c r="ALB70" s="50"/>
      <c r="ALC70" s="50"/>
      <c r="ALD70" s="50"/>
      <c r="ALE70" s="50"/>
      <c r="ALF70" s="50"/>
      <c r="ALG70" s="50"/>
      <c r="ALH70" s="50"/>
      <c r="ALI70" s="50"/>
      <c r="ALJ70" s="50"/>
      <c r="ALK70" s="50"/>
      <c r="ALL70" s="50"/>
      <c r="ALM70" s="50"/>
      <c r="ALN70" s="50"/>
      <c r="ALO70" s="50"/>
      <c r="ALP70" s="50"/>
      <c r="ALQ70" s="50"/>
      <c r="ALR70" s="50"/>
      <c r="ALS70" s="50"/>
      <c r="ALT70" s="50"/>
      <c r="ALU70" s="50"/>
      <c r="ALV70" s="50"/>
      <c r="ALW70" s="50"/>
      <c r="ALX70" s="50"/>
      <c r="ALY70" s="50"/>
      <c r="ALZ70" s="50"/>
      <c r="AMA70" s="50"/>
      <c r="AMB70" s="50"/>
      <c r="AMC70" s="50"/>
      <c r="AMD70" s="50"/>
      <c r="AME70" s="50"/>
      <c r="AMF70" s="50"/>
      <c r="AMG70" s="50"/>
      <c r="AMH70" s="50"/>
      <c r="AMI70" s="50"/>
      <c r="AMJ70" s="50"/>
      <c r="AMK70" s="50"/>
    </row>
  </sheetData>
  <sheetProtection algorithmName="SHA-512" hashValue="lXHGyDiV8v+DGY1kPQ2syy8oD6njdO/NDeyAb+nkDkkyuYadwqCROo6JKpHWzauQvnXJAp48bsea99zVi45lAQ==" saltValue="CcRCBBkx2s8cfWq+T8DIqQ==" spinCount="100000" sheet="1" objects="1" scenarios="1"/>
  <mergeCells count="1">
    <mergeCell ref="H29:I29"/>
  </mergeCells>
  <dataValidations count="13">
    <dataValidation type="list" allowBlank="1" showInputMessage="1" showErrorMessage="1" sqref="J8" xr:uid="{00000000-0002-0000-0000-000000000000}">
      <formula1>$N$8:$S$8</formula1>
      <formula2>0</formula2>
    </dataValidation>
    <dataValidation type="list" allowBlank="1" showInputMessage="1" showErrorMessage="1" sqref="J11:J12" xr:uid="{00000000-0002-0000-0000-000001000000}">
      <formula1>$N$8:$O$8</formula1>
      <formula2>0</formula2>
    </dataValidation>
    <dataValidation type="list" allowBlank="1" showInputMessage="1" showErrorMessage="1" sqref="J15" xr:uid="{00000000-0002-0000-0000-000002000000}">
      <formula1>$N$14:$P$14</formula1>
      <formula2>0</formula2>
    </dataValidation>
    <dataValidation type="list" allowBlank="1" showInputMessage="1" showErrorMessage="1" sqref="J23:J24" xr:uid="{00000000-0002-0000-0000-000003000000}">
      <formula1>$N$18:$R$18</formula1>
      <formula2>0</formula2>
    </dataValidation>
    <dataValidation type="list" allowBlank="1" showInputMessage="1" showErrorMessage="1" sqref="J27:J28" xr:uid="{00000000-0002-0000-0000-000004000000}">
      <formula1>$N$20:$R$20</formula1>
      <formula2>0</formula2>
    </dataValidation>
    <dataValidation type="list" allowBlank="1" showInputMessage="1" showErrorMessage="1" sqref="J33:J34" xr:uid="{00000000-0002-0000-0000-000005000000}">
      <formula1>$N$25:$O$25</formula1>
      <formula2>0</formula2>
    </dataValidation>
    <dataValidation type="list" allowBlank="1" showInputMessage="1" showErrorMessage="1" sqref="J31" xr:uid="{00000000-0002-0000-0000-000006000000}">
      <formula1>$M$22:$AA$22</formula1>
      <formula2>0</formula2>
    </dataValidation>
    <dataValidation type="list" allowBlank="1" showInputMessage="1" showErrorMessage="1" sqref="J10 J13" xr:uid="{00000000-0002-0000-0000-000007000000}">
      <formula1>$N$10:$O$10</formula1>
      <formula2>0</formula2>
    </dataValidation>
    <dataValidation type="list" allowBlank="1" showInputMessage="1" showErrorMessage="1" sqref="J5" xr:uid="{00000000-0002-0000-0000-000008000000}">
      <formula1>$M$31:$M$53</formula1>
      <formula2>0</formula2>
    </dataValidation>
    <dataValidation type="list" allowBlank="1" showInputMessage="1" showErrorMessage="1" sqref="I59:I60" xr:uid="{00000000-0002-0000-0000-000009000000}">
      <formula1>$L$59:$Q$59</formula1>
      <formula2>0</formula2>
    </dataValidation>
    <dataValidation type="list" allowBlank="1" showInputMessage="1" showErrorMessage="1" sqref="I63" xr:uid="{00000000-0002-0000-0000-00000A000000}">
      <formula1>$L$61:$P$61</formula1>
      <formula2>0</formula2>
    </dataValidation>
    <dataValidation type="list" allowBlank="1" showInputMessage="1" showErrorMessage="1" sqref="I62" xr:uid="{00000000-0002-0000-0000-00000B000000}">
      <formula1>$L$61:$R$61</formula1>
      <formula2>0</formula2>
    </dataValidation>
    <dataValidation type="list" allowBlank="1" showInputMessage="1" showErrorMessage="1" sqref="I65" xr:uid="{00000000-0002-0000-0000-00000C000000}">
      <formula1>$R$59:$U$59</formula1>
      <formula2>0</formula2>
    </dataValidation>
  </dataValidations>
  <hyperlinks>
    <hyperlink ref="I53" r:id="rId1" display="https://clck.ru/35ncg3" xr:uid="{00000000-0004-0000-0000-000000000000}"/>
    <hyperlink ref="I56" r:id="rId2" display="https://clck.ru/35ncjZ" xr:uid="{00000000-0004-0000-0000-000001000000}"/>
    <hyperlink ref="I70" r:id="rId3" display="https://clck.ru/35ncVw" xr:uid="{00000000-0004-0000-0000-000002000000}"/>
  </hyperlinks>
  <pageMargins left="0.7" right="0.7" top="0.75" bottom="0.75" header="0.51180555555555496" footer="0.51180555555555496"/>
  <pageSetup paperSize="9" firstPageNumber="0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7"/>
  <sheetViews>
    <sheetView zoomScaleNormal="100" workbookViewId="0">
      <selection activeCell="B30" sqref="B30"/>
    </sheetView>
  </sheetViews>
  <sheetFormatPr defaultColWidth="8.5703125" defaultRowHeight="14.45"/>
  <sheetData>
    <row r="2" spans="2:6">
      <c r="B2" t="s">
        <v>116</v>
      </c>
    </row>
    <row r="4" spans="2:6" ht="15.6">
      <c r="B4" s="21" t="s">
        <v>117</v>
      </c>
    </row>
    <row r="5" spans="2:6">
      <c r="B5" s="22"/>
    </row>
    <row r="6" spans="2:6">
      <c r="B6" t="s">
        <v>118</v>
      </c>
    </row>
    <row r="8" spans="2:6">
      <c r="B8" t="s">
        <v>119</v>
      </c>
      <c r="F8">
        <v>4372.0569999999998</v>
      </c>
    </row>
    <row r="10" spans="2:6">
      <c r="B10" t="s">
        <v>120</v>
      </c>
    </row>
    <row r="12" spans="2:6" ht="15.6">
      <c r="B12" s="21" t="s">
        <v>121</v>
      </c>
    </row>
    <row r="13" spans="2:6">
      <c r="B13" s="22"/>
    </row>
    <row r="14" spans="2:6" ht="15.6">
      <c r="B14" s="21" t="s">
        <v>122</v>
      </c>
    </row>
    <row r="15" spans="2:6" ht="15.6">
      <c r="B15" s="21" t="s">
        <v>123</v>
      </c>
    </row>
    <row r="16" spans="2:6">
      <c r="B16" s="22"/>
    </row>
    <row r="17" spans="2:2" ht="15.6">
      <c r="B17" s="23" t="s">
        <v>124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F22" sqref="F22"/>
    </sheetView>
  </sheetViews>
  <sheetFormatPr defaultColWidth="8.5703125" defaultRowHeight="14.4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nachtorg</dc:creator>
  <cp:keywords/>
  <dc:description/>
  <cp:lastModifiedBy>Сергей Шестопалов</cp:lastModifiedBy>
  <cp:revision>4</cp:revision>
  <dcterms:created xsi:type="dcterms:W3CDTF">2022-04-12T09:45:55Z</dcterms:created>
  <dcterms:modified xsi:type="dcterms:W3CDTF">2024-03-19T07:13:01Z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